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3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4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rganoncloud-my.sharepoint.com/personal/jennifer_halchak_organon_com/Documents/Desktop/"/>
    </mc:Choice>
  </mc:AlternateContent>
  <xr:revisionPtr revIDLastSave="0" documentId="8_{2A9C7302-3689-42F7-8280-9C6A8D732AD6}" xr6:coauthVersionLast="47" xr6:coauthVersionMax="47" xr10:uidLastSave="{00000000-0000-0000-0000-000000000000}"/>
  <bookViews>
    <workbookView xWindow="-110" yWindow="-110" windowWidth="19420" windowHeight="10420" xr2:uid="{7818C4C1-EF6C-4187-8799-CF2B7D269778}"/>
  </bookViews>
  <sheets>
    <sheet name="4Q22 Prod Sales by Region" sheetId="17" r:id="rId1"/>
    <sheet name="4Q22 YTD Prod Sales by Region" sheetId="20" r:id="rId2"/>
    <sheet name="1Q 2022 Sales by Region Report" sheetId="16" state="hidden" r:id="rId3"/>
    <sheet name="1Q '22 product Sales by region" sheetId="15" state="hidden" r:id="rId4"/>
    <sheet name="FY 2021 Sales by Region Report" sheetId="14" state="hidden" r:id="rId5"/>
    <sheet name="4Q 2021 Sales by Region Report" sheetId="9" state="hidden" r:id="rId6"/>
    <sheet name="FY product Sales by region" sheetId="13" state="hidden" r:id="rId7"/>
    <sheet name="4Q product Sales by region" sheetId="12" state="hidden" r:id="rId8"/>
    <sheet name="3Q product Sales by region" sheetId="8" state="hidden" r:id="rId9"/>
    <sheet name="2Q product Sales by region" sheetId="6" state="hidden" r:id="rId10"/>
    <sheet name="1Q product sales by region " sheetId="7" state="hidden" r:id="rId11"/>
    <sheet name="OCO Ops Global Adj" sheetId="11" state="hidden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" hidden="1">{"detail",#N/A,FALSE,"mfg";"summary",#N/A,FALSE,"mfg"}</definedName>
    <definedName name="_____________A11" hidden="1">{#N/A,#N/A,FALSE,"Umsatz 99";#N/A,#N/A,FALSE,"ER 99 "}</definedName>
    <definedName name="_____________c" hidden="1">{"Fiesta Facer Page",#N/A,FALSE,"Q_C_S";"Fiesta Main Page",#N/A,FALSE,"V_L";"Fiesta 95BP Struct",#N/A,FALSE,"StructBP";"Fiesta Post 95BP Struct",#N/A,FALSE,"AdjStructBP"}</definedName>
    <definedName name="____________A11" hidden="1">{#N/A,#N/A,FALSE,"Umsatz 99";#N/A,#N/A,FALSE,"ER 99 "}</definedName>
    <definedName name="____________abc1" hidden="1">{"detail",#N/A,FALSE,"mfg";"summary",#N/A,FALSE,"mfg"}</definedName>
    <definedName name="____________abc2" hidden="1">{"detail",#N/A,FALSE,"mfg";"summary",#N/A,FALSE,"mfg"}</definedName>
    <definedName name="____________c" hidden="1">{"Fiesta Facer Page",#N/A,FALSE,"Q_C_S";"Fiesta Main Page",#N/A,FALSE,"V_L";"Fiesta 95BP Struct",#N/A,FALSE,"StructBP";"Fiesta Post 95BP Struct",#N/A,FALSE,"AdjStructBP"}</definedName>
    <definedName name="____________z12" hidden="1">{"pro_view",#N/A,FALSE,"EEFSNAP2";"rep_view",#N/A,FALSE,"EEFSNAP2"}</definedName>
    <definedName name="_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_z25" hidden="1">{"detail",#N/A,FALSE,"mfg";"summary",#N/A,FALSE,"mfg"}</definedName>
    <definedName name="___________abc1" hidden="1">{"detail",#N/A,FALSE,"mfg";"summary",#N/A,FALSE,"mfg"}</definedName>
    <definedName name="___________abc2" hidden="1">{"detail",#N/A,FALSE,"mfg";"summary",#N/A,FALSE,"mfg"}</definedName>
    <definedName name="___________z12" hidden="1">{"pro_view",#N/A,FALSE,"EEFSNAP2";"rep_view",#N/A,FALSE,"EEFSNAP2"}</definedName>
    <definedName name="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z25" hidden="1">{"detail",#N/A,FALSE,"mfg";"summary",#N/A,FALSE,"mfg"}</definedName>
    <definedName name="__________A11" hidden="1">{#N/A,#N/A,FALSE,"Umsatz 99";#N/A,#N/A,FALSE,"ER 99 "}</definedName>
    <definedName name="__________abc1" hidden="1">{"detail",#N/A,FALSE,"mfg";"summary",#N/A,FALSE,"mfg"}</definedName>
    <definedName name="__________abc2" hidden="1">{"detail",#N/A,FALSE,"mfg";"summary",#N/A,FALSE,"mfg"}</definedName>
    <definedName name="__________c" hidden="1">{"Fiesta Facer Page",#N/A,FALSE,"Q_C_S";"Fiesta Main Page",#N/A,FALSE,"V_L";"Fiesta 95BP Struct",#N/A,FALSE,"StructBP";"Fiesta Post 95BP Struct",#N/A,FALSE,"AdjStructBP"}</definedName>
    <definedName name="__________z12" hidden="1">{"pro_view",#N/A,FALSE,"EEFSNAP2";"rep_view",#N/A,FALSE,"EEFSNAP2"}</definedName>
    <definedName name="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z25" hidden="1">{"detail",#N/A,FALSE,"mfg";"summary",#N/A,FALSE,"mfg"}</definedName>
    <definedName name="_________abc1" hidden="1">{"detail",#N/A,FALSE,"mfg";"summary",#N/A,FALSE,"mfg"}</definedName>
    <definedName name="_________abc2" hidden="1">{"detail",#N/A,FALSE,"mfg";"summary",#N/A,FALSE,"mfg"}</definedName>
    <definedName name="_________z12" hidden="1">{"pro_view",#N/A,FALSE,"EEFSNAP2";"rep_view",#N/A,FALSE,"EEFSNAP2"}</definedName>
    <definedName name="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z25" hidden="1">{"detail",#N/A,FALSE,"mfg";"summary",#N/A,FALSE,"mfg"}</definedName>
    <definedName name="________A11" hidden="1">{#N/A,#N/A,FALSE,"Umsatz 99";#N/A,#N/A,FALSE,"ER 99 "}</definedName>
    <definedName name="________abc1" hidden="1">{"detail",#N/A,FALSE,"mfg";"summary",#N/A,FALSE,"mfg"}</definedName>
    <definedName name="________abc2" hidden="1">{"detail",#N/A,FALSE,"mfg";"summary",#N/A,FALSE,"mfg"}</definedName>
    <definedName name="________c" hidden="1">{"Fiesta Facer Page",#N/A,FALSE,"Q_C_S";"Fiesta Main Page",#N/A,FALSE,"V_L";"Fiesta 95BP Struct",#N/A,FALSE,"StructBP";"Fiesta Post 95BP Struct",#N/A,FALSE,"AdjStructBP"}</definedName>
    <definedName name="________z12" hidden="1">{"pro_view",#N/A,FALSE,"EEFSNAP2";"rep_view",#N/A,FALSE,"EEFSNAP2"}</definedName>
    <definedName name="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z25" hidden="1">{"detail",#N/A,FALSE,"mfg";"summary",#N/A,FALSE,"mfg"}</definedName>
    <definedName name="_______abc1" hidden="1">{"detail",#N/A,FALSE,"mfg";"summary",#N/A,FALSE,"mfg"}</definedName>
    <definedName name="_______abc2" hidden="1">{"detail",#N/A,FALSE,"mfg";"summary",#N/A,FALSE,"mfg"}</definedName>
    <definedName name="_______z12" hidden="1">{"pro_view",#N/A,FALSE,"EEFSNAP2";"rep_view",#N/A,FALSE,"EEFSNAP2"}</definedName>
    <definedName name="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z25" hidden="1">{"detail",#N/A,FALSE,"mfg";"summary",#N/A,FALSE,"mfg"}</definedName>
    <definedName name="______a1" hidden="1">{#N/A,#N/A,FALSE,"Pharm";#N/A,#N/A,FALSE,"WWCM"}</definedName>
    <definedName name="______aaa1" hidden="1">{#N/A,#N/A,FALSE,"REPORT"}</definedName>
    <definedName name="______aas1" hidden="1">{#N/A,#N/A,FALSE,"REPORT"}</definedName>
    <definedName name="______ACS2000" hidden="1">{#N/A,#N/A,FALSE,"REPORT"}</definedName>
    <definedName name="______b111" hidden="1">{#N/A,#N/A,FALSE,"Pharm";#N/A,#N/A,FALSE,"WWCM"}</definedName>
    <definedName name="______new1" hidden="1">{#N/A,#N/A,FALSE,"Pharm";#N/A,#N/A,FALSE,"WWCM"}</definedName>
    <definedName name="______r" hidden="1">{#N/A,#N/A,FALSE,"Pharm";#N/A,#N/A,FALSE,"WWCM"}</definedName>
    <definedName name="______tm1" hidden="1">{#N/A,#N/A,FALSE,"Pharm";#N/A,#N/A,FALSE,"WWCM"}</definedName>
    <definedName name="______X2" hidden="1">{#N/A,#N/A,FALSE,"Other";#N/A,#N/A,FALSE,"Ace";#N/A,#N/A,FALSE,"Derm"}</definedName>
    <definedName name="_____abc1" hidden="1">{"detail",#N/A,FALSE,"mfg";"summary",#N/A,FALSE,"mfg"}</definedName>
    <definedName name="_____abc2" hidden="1">{"detail",#N/A,FALSE,"mfg";"summary",#N/A,FALSE,"mfg"}</definedName>
    <definedName name="_____z12" hidden="1">{"pro_view",#N/A,FALSE,"EEFSNAP2";"rep_view",#N/A,FALSE,"EEFSNAP2"}</definedName>
    <definedName name="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z25" hidden="1">{"detail",#N/A,FALSE,"mfg";"summary",#N/A,FALSE,"mfg"}</definedName>
    <definedName name="____abc1" hidden="1">{"detail",#N/A,FALSE,"mfg";"summary",#N/A,FALSE,"mfg"}</definedName>
    <definedName name="____abc2" hidden="1">{"detail",#N/A,FALSE,"mfg";"summary",#N/A,FALSE,"mfg"}</definedName>
    <definedName name="__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__x1" hidden="1">{"detail",#N/A,FALSE,"mfg";"summary",#N/A,FALSE,"mfg"}</definedName>
    <definedName name="____x2" hidden="1">{#N/A,"PURCHM",FALSE,"Business Analysis";#N/A,"SPADD",FALSE,"Business Analysis"}</definedName>
    <definedName name="____x3" hidden="1">{"detail",#N/A,FALSE,"mfg";"summary",#N/A,FALSE,"mfg"}</definedName>
    <definedName name="____x4" hidden="1">{#N/A,"PURCHM",FALSE,"Business Analysis";#N/A,"SPADD",FALSE,"Business Analysis"}</definedName>
    <definedName name="__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xx10" hidden="1">{#N/A,"PURCHM",FALSE,"Business Analysis";#N/A,"SPADD",FALSE,"Business Analysis"}</definedName>
    <definedName name="____xx3" hidden="1">{"detail",#N/A,FALSE,"mfg";"summary",#N/A,FALSE,"mfg"}</definedName>
    <definedName name="__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__xx7" hidden="1">{"oct_res_comm",#N/A,FALSE,"VarToBud"}</definedName>
    <definedName name="__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__xx9" hidden="1">{"AS REP",#N/A,FALSE,"EEFSNAP2";"PROP",#N/A,FALSE,"EEFSNAP2";"RISKS",#N/A,FALSE,"EEFSNAP2";"VIEW ALL",#N/A,FALSE,"EEFSNAP2"}</definedName>
    <definedName name="____z12" hidden="1">{"pro_view",#N/A,FALSE,"EEFSNAP2";"rep_view",#N/A,FALSE,"EEFSNAP2"}</definedName>
    <definedName name="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z25" hidden="1">{"detail",#N/A,FALSE,"mfg";"summary",#N/A,FALSE,"mfg"}</definedName>
    <definedName name="____zz1" hidden="1">{"pro_view",#N/A,FALSE,"EEFSNAP2";"rep_view",#N/A,FALSE,"EEFSNAP2"}</definedName>
    <definedName name="__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abc1" hidden="1">{"detail",#N/A,FALSE,"mfg";"summary",#N/A,FALSE,"mfg"}</definedName>
    <definedName name="___abc2" hidden="1">{"detail",#N/A,FALSE,"mfg";"summary",#N/A,FALSE,"mfg"}</definedName>
    <definedName name="___z12" hidden="1">{"pro_view",#N/A,FALSE,"EEFSNAP2";"rep_view",#N/A,FALSE,"EEFSNAP2"}</definedName>
    <definedName name="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z25" hidden="1">{"detail",#N/A,FALSE,"mfg";"summary",#N/A,FALSE,"mfg"}</definedName>
    <definedName name="__123Graph_A" hidden="1">'[1]MHHD EUROPE'!#REF!</definedName>
    <definedName name="__123Graph_B" hidden="1">'[1]MHHD EUROPE'!#REF!</definedName>
    <definedName name="__123Graph_BGraph3" hidden="1">'[2]Key-in'!$D$44:$D$68</definedName>
    <definedName name="__123Graph_C" hidden="1">'[1]MHHD EUROPE'!#REF!</definedName>
    <definedName name="__123Graph_CGraph3" hidden="1">'[2]Key-in'!$E$44:$E$68</definedName>
    <definedName name="__123Graph_X" hidden="1">'[1]MHHD EUROPE'!#REF!</definedName>
    <definedName name="__a1" hidden="1">{#N/A,#N/A,FALSE,"Pharm";#N/A,#N/A,FALSE,"WWCM"}</definedName>
    <definedName name="__A11" hidden="1">{#N/A,#N/A,FALSE,"Umsatz 99";#N/A,#N/A,FALSE,"ER 99 "}</definedName>
    <definedName name="_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aaa1" hidden="1">{#N/A,#N/A,FALSE,"REPORT"}</definedName>
    <definedName name="__aas1" hidden="1">{#N/A,#N/A,FALSE,"REPORT"}</definedName>
    <definedName name="__abc1" hidden="1">{"detail",#N/A,FALSE,"mfg";"summary",#N/A,FALSE,"mfg"}</definedName>
    <definedName name="__abc2" hidden="1">{"detail",#N/A,FALSE,"mfg";"summary",#N/A,FALSE,"mfg"}</definedName>
    <definedName name="__abc3" hidden="1">{"detail",#N/A,FALSE,"mfg";"summary",#N/A,FALSE,"mfg"}</definedName>
    <definedName name="__ACS2000" hidden="1">{#N/A,#N/A,FALSE,"REPORT"}</definedName>
    <definedName name="__ap2" hidden="1">{"detail",#N/A,FALSE,"mfg";"summary",#N/A,FALSE,"mfg"}</definedName>
    <definedName name="__b111" hidden="1">{#N/A,#N/A,FALSE,"Pharm";#N/A,#N/A,FALSE,"WWCM"}</definedName>
    <definedName name="__c" hidden="1">{"Fiesta Facer Page",#N/A,FALSE,"Q_C_S";"Fiesta Main Page",#N/A,FALSE,"V_L";"Fiesta 95BP Struct",#N/A,FALSE,"StructBP";"Fiesta Post 95BP Struct",#N/A,FALSE,"AdjStructBP"}</definedName>
    <definedName name="__dwa1" hidden="1">{#N/A,"PURCHM",FALSE,"Business Analysis";#N/A,"SPADD",FALSE,"Business Analysis"}</definedName>
    <definedName name="__eu93" hidden="1">{"Comp_of_Price_Effect",#N/A,FALSE,"QTRDPVAR"}</definedName>
    <definedName name="__FDS_UNIQUE_RANGE_ID_GENERATOR_COUNTER" hidden="1">1</definedName>
    <definedName name="__FDS_USED_FOR_REUSING_RANGE_IDS_RECYCLE" hidden="1">{152,168,338,189,173,195,158,390,7,11,232,378,159,175,261,183,177,129,8,155,265,394,57}</definedName>
    <definedName name="__mno9" hidden="1">{"detail",#N/A,FALSE,"mfg";"summary",#N/A,FALSE,"mfg"}</definedName>
    <definedName name="__new1" hidden="1">{#N/A,#N/A,FALSE,"Pharm";#N/A,#N/A,FALSE,"WWCM"}</definedName>
    <definedName name="__r" hidden="1">{#N/A,#N/A,FALSE,"Pharm";#N/A,#N/A,FALSE,"WWCM"}</definedName>
    <definedName name="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s34" hidden="1">{"QTD_GENERALH2",#N/A,FALSE,"QTD"}</definedName>
    <definedName name="__sd34" hidden="1">{"QTD",#N/A,FALSE,"SUM"}</definedName>
    <definedName name="__tm1" hidden="1">{#N/A,#N/A,FALSE,"Pharm";#N/A,#N/A,FALSE,"WWCM"}</definedName>
    <definedName name="__x1" hidden="1">{"detail",#N/A,FALSE,"mfg";"summary",#N/A,FALSE,"mfg"}</definedName>
    <definedName name="__X2" hidden="1">{#N/A,#N/A,FALSE,"Other";#N/A,#N/A,FALSE,"Ace";#N/A,#N/A,FALSE,"Derm"}</definedName>
    <definedName name="__x3" hidden="1">{"detail",#N/A,FALSE,"mfg";"summary",#N/A,FALSE,"mfg"}</definedName>
    <definedName name="__x4" hidden="1">{#N/A,"PURCHM",FALSE,"Business Analysis";#N/A,"SPADD",FALSE,"Business Analysis"}</definedName>
    <definedName name="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xx10" hidden="1">{#N/A,"PURCHM",FALSE,"Business Analysis";#N/A,"SPADD",FALSE,"Business Analysis"}</definedName>
    <definedName name="__xx3" hidden="1">{"detail",#N/A,FALSE,"mfg";"summary",#N/A,FALSE,"mfg"}</definedName>
    <definedName name="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xx7" hidden="1">{"oct_res_comm",#N/A,FALSE,"VarToBud"}</definedName>
    <definedName name="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xx9" hidden="1">{"AS REP",#N/A,FALSE,"EEFSNAP2";"PROP",#N/A,FALSE,"EEFSNAP2";"RISKS",#N/A,FALSE,"EEFSNAP2";"VIEW ALL",#N/A,FALSE,"EEFSNAP2"}</definedName>
    <definedName name="__z12" hidden="1">{"pro_view",#N/A,FALSE,"EEFSNAP2";"rep_view",#N/A,FALSE,"EEFSNAP2"}</definedName>
    <definedName name="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z25" hidden="1">{"detail",#N/A,FALSE,"mfg";"summary",#N/A,FALSE,"mfg"}</definedName>
    <definedName name="__zz1" hidden="1">{"pro_view",#N/A,FALSE,"EEFSNAP2";"rep_view",#N/A,FALSE,"EEFSNAP2"}</definedName>
    <definedName name="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8wrn.²Ä1­Ó¤ë1_Ü20¤H." hidden="1">{#N/A,#N/A,FALSE,"²Ä1­Ó¤ë"}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2wrn.²Ä1­Ó¤ë1_Ü20¤H." hidden="1">{#N/A,#N/A,FALSE,"²Ä1­Ó¤ë"}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a1" hidden="1">{#N/A,#N/A,FALSE,"Pharm";#N/A,#N/A,FALSE,"WWCM"}</definedName>
    <definedName name="_A11" hidden="1">{#N/A,#N/A,FALSE,"Umsatz 99";#N/A,#N/A,FALSE,"ER 99 "}</definedName>
    <definedName name="_A700" hidden="1">{#N/A,#N/A,FALSE,"Umsatz 99";#N/A,#N/A,FALSE,"ER 99 "}</definedName>
    <definedName name="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aaa1" hidden="1">{#N/A,#N/A,FALSE,"REPORT"}</definedName>
    <definedName name="_aas1" hidden="1">{#N/A,#N/A,FALSE,"REPORT"}</definedName>
    <definedName name="_ab098" hidden="1">{#N/A,"PURCHM",FALSE,"Business Analysis";#N/A,"SPADD",FALSE,"Business Analysis"}</definedName>
    <definedName name="_abc098" hidden="1">{#N/A,"PURCHM",FALSE,"Business Analysis";#N/A,"SPADD",FALSE,"Business Analysis"}</definedName>
    <definedName name="_abc1" hidden="1">{"detail",#N/A,FALSE,"mfg";"summary",#N/A,FALSE,"mfg"}</definedName>
    <definedName name="_abc10" hidden="1">{"detail",#N/A,FALSE,"mfg";"summary",#N/A,FALSE,"mfg"}</definedName>
    <definedName name="_abc101" hidden="1">{"detail",#N/A,FALSE,"mfg";"summary",#N/A,FALSE,"mfg"}</definedName>
    <definedName name="_abc102" hidden="1">{"detail",#N/A,FALSE,"mfg";"summary",#N/A,FALSE,"mfg"}</definedName>
    <definedName name="_abc105" hidden="1">{"detail",#N/A,FALSE,"mfg";"summary",#N/A,FALSE,"mfg"}</definedName>
    <definedName name="_abc1082" hidden="1">{"detail",#N/A,FALSE,"mfg";"summary",#N/A,FALSE,"mfg"}</definedName>
    <definedName name="_abc11" hidden="1">{"detail",#N/A,FALSE,"mfg";"summary",#N/A,FALSE,"mfg"}</definedName>
    <definedName name="_abc115" hidden="1">{"detail",#N/A,FALSE,"mfg";"summary",#N/A,FALSE,"mfg"}</definedName>
    <definedName name="_abc12" hidden="1">{"detail",#N/A,FALSE,"mfg";"summary",#N/A,FALSE,"mfg"}</definedName>
    <definedName name="_abc1234" hidden="1">{#N/A,"PURCHM",FALSE,"Business Analysis";#N/A,"SPADD",FALSE,"Business Analysis"}</definedName>
    <definedName name="_abc125" hidden="1">{"detail",#N/A,FALSE,"mfg";"summary",#N/A,FALSE,"mfg"}</definedName>
    <definedName name="_abc13" hidden="1">{"detail",#N/A,FALSE,"mfg";"summary",#N/A,FALSE,"mfg"}</definedName>
    <definedName name="_abc1325" hidden="1">{"detail",#N/A,FALSE,"mfg";"summary",#N/A,FALSE,"mfg"}</definedName>
    <definedName name="_abc14" hidden="1">{"detail",#N/A,FALSE,"mfg";"summary",#N/A,FALSE,"mfg"}</definedName>
    <definedName name="_abc1425" hidden="1">{"detail",#N/A,FALSE,"mfg";"summary",#N/A,FALSE,"mfg"}</definedName>
    <definedName name="_abc2" hidden="1">{"detail",#N/A,FALSE,"mfg";"summary",#N/A,FALSE,"mfg"}</definedName>
    <definedName name="_abc200" hidden="1">{"detail",#N/A,FALSE,"mfg";"summary",#N/A,FALSE,"mfg"}</definedName>
    <definedName name="_abc2005" hidden="1">{#N/A,"PURCHM",FALSE,"Business Analysis";#N/A,"SPADD",FALSE,"Business Analysis"}</definedName>
    <definedName name="_abc201" hidden="1">{"detail",#N/A,FALSE,"mfg";"summary",#N/A,FALSE,"mfg"}</definedName>
    <definedName name="_abc202" hidden="1">{"detail",#N/A,FALSE,"mfg";"summary",#N/A,FALSE,"mfg"}</definedName>
    <definedName name="_abc2054" hidden="1">{"detail",#N/A,FALSE,"mfg";"summary",#N/A,FALSE,"mfg"}</definedName>
    <definedName name="_abc212" hidden="1">{"detail",#N/A,FALSE,"mfg";"summary",#N/A,FALSE,"mfg"}</definedName>
    <definedName name="_abc212450" hidden="1">{"detail",#N/A,FALSE,"mfg";"summary",#N/A,FALSE,"mfg"}</definedName>
    <definedName name="_abc23" hidden="1">{"detail",#N/A,FALSE,"mfg";"summary",#N/A,FALSE,"mfg"}</definedName>
    <definedName name="_abc24" hidden="1">{"detail",#N/A,FALSE,"mfg";"summary",#N/A,FALSE,"mfg"}</definedName>
    <definedName name="_abc25" hidden="1">{"detail",#N/A,FALSE,"mfg";"summary",#N/A,FALSE,"mfg"}</definedName>
    <definedName name="_abc26" hidden="1">{"detail",#N/A,FALSE,"mfg";"summary",#N/A,FALSE,"mfg"}</definedName>
    <definedName name="_abc289" hidden="1">{"detail",#N/A,FALSE,"mfg";"summary",#N/A,FALSE,"mfg"}</definedName>
    <definedName name="_abc3" hidden="1">{"detail",#N/A,FALSE,"mfg";"summary",#N/A,FALSE,"mfg"}</definedName>
    <definedName name="_abc31" hidden="1">{"detail",#N/A,FALSE,"mfg";"summary",#N/A,FALSE,"mfg"}</definedName>
    <definedName name="_abc312" hidden="1">{"detail",#N/A,FALSE,"mfg";"summary",#N/A,FALSE,"mfg"}</definedName>
    <definedName name="_abc315" hidden="1">{"detail",#N/A,FALSE,"mfg";"summary",#N/A,FALSE,"mfg"}</definedName>
    <definedName name="_abc316" hidden="1">{"detail",#N/A,FALSE,"mfg";"summary",#N/A,FALSE,"mfg"}</definedName>
    <definedName name="_abc32" hidden="1">{"detail",#N/A,FALSE,"mfg";"summary",#N/A,FALSE,"mfg"}</definedName>
    <definedName name="_abc3216" hidden="1">{"detail",#N/A,FALSE,"mfg";"summary",#N/A,FALSE,"mfg"}</definedName>
    <definedName name="_abc35" hidden="1">{"detail",#N/A,FALSE,"mfg";"summary",#N/A,FALSE,"mfg"}</definedName>
    <definedName name="_abc36" hidden="1">{"detail",#N/A,FALSE,"mfg";"summary",#N/A,FALSE,"mfg"}</definedName>
    <definedName name="_abc37" hidden="1">{"detail",#N/A,FALSE,"mfg";"summary",#N/A,FALSE,"mfg"}</definedName>
    <definedName name="_abc38" hidden="1">{"detail",#N/A,FALSE,"mfg";"summary",#N/A,FALSE,"mfg"}</definedName>
    <definedName name="_ABC41" hidden="1">{"detail",#N/A,FALSE,"mfg";"summary",#N/A,FALSE,"mfg"}</definedName>
    <definedName name="_abc42" hidden="1">{"detail",#N/A,FALSE,"mfg";"summary",#N/A,FALSE,"mfg"}</definedName>
    <definedName name="_abc51" hidden="1">{"detail",#N/A,FALSE,"mfg";"summary",#N/A,FALSE,"mfg"}</definedName>
    <definedName name="_abc61" hidden="1">{"detail",#N/A,FALSE,"mfg";"summary",#N/A,FALSE,"mfg"}</definedName>
    <definedName name="_abc71" hidden="1">{"detail",#N/A,FALSE,"mfg";"summary",#N/A,FALSE,"mfg"}</definedName>
    <definedName name="_abc7884" hidden="1">{"detail",#N/A,FALSE,"mfg";"summary",#N/A,FALSE,"mfg"}</definedName>
    <definedName name="_ACS2000" hidden="1">{#N/A,#N/A,FALSE,"REPORT"}</definedName>
    <definedName name="_ap2" hidden="1">{"detail",#N/A,FALSE,"mfg";"summary",#N/A,FALSE,"mfg"}</definedName>
    <definedName name="_b111" hidden="1">{#N/A,#N/A,FALSE,"Pharm";#N/A,#N/A,FALSE,"WWCM"}</definedName>
    <definedName name="_bji23" hidden="1">{#N/A,"PURCHM",FALSE,"Business Analysis";#N/A,"SPADD",FALSE,"Business Analysis"}</definedName>
    <definedName name="_bkd87" hidden="1">{#N/A,"PURCHM",FALSE,"Business Analysis";#N/A,"SPADD",FALSE,"Business Analysis"}</definedName>
    <definedName name="_BQ4.1" hidden="1">#REF!</definedName>
    <definedName name="_BQ4.2" hidden="1">#REF!</definedName>
    <definedName name="_c" hidden="1">{"Fiesta Facer Page",#N/A,FALSE,"Q_C_S";"Fiesta Main Page",#N/A,FALSE,"V_L";"Fiesta 95BP Struct",#N/A,FALSE,"StructBP";"Fiesta Post 95BP Struct",#N/A,FALSE,"AdjStructBP"}</definedName>
    <definedName name="_div20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iv20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wa1" hidden="1">{#N/A,"PURCHM",FALSE,"Business Analysis";#N/A,"SPADD",FALSE,"Business Analysis"}</definedName>
    <definedName name="_eu93" hidden="1">{"Comp_of_Price_Effect",#N/A,FALSE,"QTRDPVAR"}</definedName>
    <definedName name="_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Fill" hidden="1">#REF!</definedName>
    <definedName name="_Key1" hidden="1">[3]Estimates!#REF!</definedName>
    <definedName name="_mno9" hidden="1">{"detail",#N/A,FALSE,"mfg";"summary",#N/A,FALSE,"mfg"}</definedName>
    <definedName name="_nam305" hidden="1">{"detail",#N/A,FALSE,"mfg";"summary",#N/A,FALSE,"mfg"}</definedName>
    <definedName name="_new1" hidden="1">{#N/A,#N/A,FALSE,"Pharm";#N/A,#N/A,FALSE,"WWCM"}</definedName>
    <definedName name="_Order1" hidden="1">255</definedName>
    <definedName name="_Order2" hidden="1">255</definedName>
    <definedName name="_pp1" hidden="1">{#N/A,#N/A,FALSE,"Trends";#N/A,#N/A,FALSE,"As Reported";#N/A,#N/A,FALSE,"(un) Commited"}</definedName>
    <definedName name="_puc101" hidden="1">{#N/A,"PURCHM",FALSE,"Business Analysis";#N/A,"SPADD",FALSE,"Business Analysis"}</definedName>
    <definedName name="_puc102" hidden="1">{#N/A,"PURCHM",FALSE,"Business Analysis";#N/A,"SPADD",FALSE,"Business Analysis"}</definedName>
    <definedName name="_r" hidden="1">{#N/A,#N/A,FALSE,"Pharm";#N/A,#N/A,FALSE,"WWCM"}</definedName>
    <definedName name="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Regression_Int" hidden="1">1</definedName>
    <definedName name="_s34" hidden="1">{"QTD_GENERALH2",#N/A,FALSE,"QTD"}</definedName>
    <definedName name="_sd34" hidden="1">{"QTD",#N/A,FALSE,"SUM"}</definedName>
    <definedName name="_Sort" hidden="1">[3]Estimates!#REF!</definedName>
    <definedName name="_ss1" hidden="1">{"detail",#N/A,FALSE,"mfg";"summary",#N/A,FALSE,"mfg"}</definedName>
    <definedName name="_tm1" hidden="1">{#N/A,#N/A,FALSE,"Pharm";#N/A,#N/A,FALSE,"WWCM"}</definedName>
    <definedName name="_wrn071" hidden="1">{#N/A,"PURCHM",FALSE,"Business Analysis";#N/A,"SPADD",FALSE,"Business Analysis"}</definedName>
    <definedName name="_wrn213" hidden="1">{"detail",#N/A,FALSE,"mfg";"summary",#N/A,FALSE,"mfg"}</definedName>
    <definedName name="_WRN41" hidden="1">{"detail",#N/A,FALSE,"mfg";"summary",#N/A,FALSE,"mfg"}</definedName>
    <definedName name="_wrn413" hidden="1">{"detail",#N/A,FALSE,"mfg";"summary",#N/A,FALSE,"mfg"}</definedName>
    <definedName name="_wrn51" hidden="1">{#N/A,"PURCHM",FALSE,"Business Analysis";#N/A,"SPADD",FALSE,"Business Analysis"}</definedName>
    <definedName name="_wrn61" hidden="1">{"detail",#N/A,FALSE,"mfg";"summary",#N/A,FALSE,"mfg"}</definedName>
    <definedName name="_wrn651" hidden="1">{"detail",#N/A,FALSE,"mfg";"summary",#N/A,FALSE,"mfg"}</definedName>
    <definedName name="_WVU4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wvu4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x1" hidden="1">{"detail",#N/A,FALSE,"mfg";"summary",#N/A,FALSE,"mfg"}</definedName>
    <definedName name="_X2" hidden="1">{#N/A,#N/A,FALSE,"Other";#N/A,#N/A,FALSE,"Ace";#N/A,#N/A,FALSE,"Derm"}</definedName>
    <definedName name="_x3" hidden="1">{"detail",#N/A,FALSE,"mfg";"summary",#N/A,FALSE,"mfg"}</definedName>
    <definedName name="_x4" hidden="1">{#N/A,"PURCHM",FALSE,"Business Analysis";#N/A,"SPADD",FALSE,"Business Analysis"}</definedName>
    <definedName name="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xx10" hidden="1">{#N/A,"PURCHM",FALSE,"Business Analysis";#N/A,"SPADD",FALSE,"Business Analysis"}</definedName>
    <definedName name="_xx3" hidden="1">{"detail",#N/A,FALSE,"mfg";"summary",#N/A,FALSE,"mfg"}</definedName>
    <definedName name="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xx7" hidden="1">{"oct_res_comm",#N/A,FALSE,"VarToBud"}</definedName>
    <definedName name="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xx9" hidden="1">{"AS REP",#N/A,FALSE,"EEFSNAP2";"PROP",#N/A,FALSE,"EEFSNAP2";"RISKS",#N/A,FALSE,"EEFSNAP2";"VIEW ALL",#N/A,FALSE,"EEFSNAP2"}</definedName>
    <definedName name="_z12" hidden="1">{"pro_view",#N/A,FALSE,"EEFSNAP2";"rep_view",#N/A,FALSE,"EEFSNAP2"}</definedName>
    <definedName name="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25" hidden="1">{"detail",#N/A,FALSE,"mfg";"summary",#N/A,FALSE,"mfg"}</definedName>
    <definedName name="_zz1" hidden="1">{"pro_view",#N/A,FALSE,"EEFSNAP2";"rep_view",#N/A,FALSE,"EEFSNAP2"}</definedName>
    <definedName name="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" hidden="1">{#N/A,#N/A,FALSE,"Umsatz 99";#N/A,#N/A,FALSE,"ER 99 "}</definedName>
    <definedName name="a1a" hidden="1">{#N/A,"PURCHM",FALSE,"Business Analysis";#N/A,"SPADD",FALSE,"Business Analysis"}</definedName>
    <definedName name="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2a" hidden="1">{"detail",#N/A,FALSE,"mfg";"summary",#N/A,FALSE,"mfg"}</definedName>
    <definedName name="a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aa" hidden="1">{"QTR494",#N/A,FALSE,"4Q94";"QTR394",#N/A,FALSE,"3Q94";"QTR294",#N/A,FALSE,"2Q94"}</definedName>
    <definedName name="äää" hidden="1">{#N/A,#N/A,FALSE,"Umsatz 99";#N/A,#N/A,FALSE,"ER 99 "}</definedName>
    <definedName name="aaaa" hidden="1">{#N/A,#N/A,FALSE,"REPORT"}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" hidden="1">{#N/A,"PURCHM",FALSE,"Business Analysis";#N/A,"SPADD",FALSE,"Business Analysis"}</definedName>
    <definedName name="aaaaaaaaaaa" hidden="1">{#N/A,#N/A,FALSE,"REPORT"}</definedName>
    <definedName name="aaaaaaaaaaaaaaa" hidden="1">{#N/A,#N/A,FALSE,"Pharm";#N/A,#N/A,FALSE,"WWCM"}</definedName>
    <definedName name="aaaaaaaaaaaaaaaaa" hidden="1">{#N/A,"PURCHM",FALSE,"Business Analysis";#N/A,"SPADD",FALSE,"Business Analysis"}</definedName>
    <definedName name="aaaaaaaaaaaaaaaaaaaaaaaaaa" hidden="1">{"detail",#N/A,FALSE,"mfg";"summary",#N/A,FALSE,"mfg"}</definedName>
    <definedName name="äääööö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aaasb" hidden="1">{#N/A,#N/A,FALSE,"Pharm";#N/A,#N/A,FALSE,"WWCM"}</definedName>
    <definedName name="aab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ass" hidden="1">{"detail",#N/A,FALSE,"mfg";"summary",#N/A,FALSE,"mfg"}</definedName>
    <definedName name="aaww" hidden="1">{"Polymers Details",#N/A,FALSE,"Current Yr";"Polymer Details",#N/A,FALSE,"Budget";"Polymer Details",#N/A,FALSE,"Prior Year"}</definedName>
    <definedName name="aax" hidden="1">{"detail",#N/A,FALSE,"mfg";"summary",#N/A,FALSE,"mfg"}</definedName>
    <definedName name="abc0mq" hidden="1">{#N/A,"PURCHM",FALSE,"Business Analysis";#N/A,"SPADD",FALSE,"Business Analysis"}</definedName>
    <definedName name="abc0nks" hidden="1">{"detail",#N/A,FALSE,"mfg";"summary",#N/A,FALSE,"mfg"}</definedName>
    <definedName name="abc101a" hidden="1">{#N/A,"PURCHM",FALSE,"Business Analysis";#N/A,"SPADD",FALSE,"Business Analysis"}</definedName>
    <definedName name="abc109a" hidden="1">{"detail",#N/A,FALSE,"mfg";"summary",#N/A,FALSE,"mfg"}</definedName>
    <definedName name="abc11a" hidden="1">{"detail",#N/A,FALSE,"mfg";"summary",#N/A,FALSE,"mfg"}</definedName>
    <definedName name="abc11ab" hidden="1">{#N/A,"PURCHM",FALSE,"Business Analysis";#N/A,"SPADD",FALSE,"Business Analysis"}</definedName>
    <definedName name="abc12a" hidden="1">{"detail",#N/A,FALSE,"mfg";"summary",#N/A,FALSE,"mfg"}</definedName>
    <definedName name="abc13a" hidden="1">{"detail",#N/A,FALSE,"mfg";"summary",#N/A,FALSE,"mfg"}</definedName>
    <definedName name="abc14a" hidden="1">{"detail",#N/A,FALSE,"mfg";"summary",#N/A,FALSE,"mfg"}</definedName>
    <definedName name="abc1b" hidden="1">{#N/A,"PURCHM",FALSE,"Business Analysis";#N/A,"SPADD",FALSE,"Business Analysis"}</definedName>
    <definedName name="abc200a" hidden="1">{"detail",#N/A,FALSE,"mfg";"summary",#N/A,FALSE,"mfg"}</definedName>
    <definedName name="abc202a" hidden="1">{"detail",#N/A,FALSE,"mfg";"summary",#N/A,FALSE,"mfg"}</definedName>
    <definedName name="abc202b" hidden="1">{#N/A,"PURCHM",FALSE,"Business Analysis";#N/A,"SPADD",FALSE,"Business Analysis"}</definedName>
    <definedName name="abc213a" hidden="1">{"detail",#N/A,FALSE,"mfg";"summary",#N/A,FALSE,"mfg"}</definedName>
    <definedName name="abc2a" hidden="1">{"detail",#N/A,FALSE,"mfg";"summary",#N/A,FALSE,"mfg"}</definedName>
    <definedName name="abc312b" hidden="1">{"detail",#N/A,FALSE,"mfg";"summary",#N/A,FALSE,"mfg"}</definedName>
    <definedName name="abc31a" hidden="1">{"detail",#N/A,FALSE,"mfg";"summary",#N/A,FALSE,"mfg"}</definedName>
    <definedName name="abc32b" hidden="1">{"detail",#N/A,FALSE,"mfg";"summary",#N/A,FALSE,"mfg"}</definedName>
    <definedName name="abc35b" hidden="1">{"detail",#N/A,FALSE,"mfg";"summary",#N/A,FALSE,"mfg"}</definedName>
    <definedName name="abc36b" hidden="1">{"detail",#N/A,FALSE,"mfg";"summary",#N/A,FALSE,"mfg"}</definedName>
    <definedName name="abc37b" hidden="1">{"detail",#N/A,FALSE,"mfg";"summary",#N/A,FALSE,"mfg"}</definedName>
    <definedName name="abc38b" hidden="1">{"detail",#N/A,FALSE,"mfg";"summary",#N/A,FALSE,"mfg"}</definedName>
    <definedName name="abc41b" hidden="1">{"detail",#N/A,FALSE,"mfg";"summary",#N/A,FALSE,"mfg"}</definedName>
    <definedName name="abc42b" hidden="1">{"detail",#N/A,FALSE,"mfg";"summary",#N/A,FALSE,"mfg"}</definedName>
    <definedName name="abc51b" hidden="1">{"detail",#N/A,FALSE,"mfg";"summary",#N/A,FALSE,"mfg"}</definedName>
    <definedName name="abc61b" hidden="1">{"detail",#N/A,FALSE,"mfg";"summary",#N/A,FALSE,"mfg"}</definedName>
    <definedName name="abc67v" hidden="1">{#N/A,"PURCHM",FALSE,"Business Analysis";#N/A,"SPADD",FALSE,"Business Analysis"}</definedName>
    <definedName name="abc71b" hidden="1">{"detail",#N/A,FALSE,"mfg";"summary",#N/A,FALSE,"mfg"}</definedName>
    <definedName name="abc9bn" hidden="1">{"detail",#N/A,FALSE,"mfg";"summary",#N/A,FALSE,"mfg"}</definedName>
    <definedName name="abc9er" hidden="1">{"detail",#N/A,FALSE,"mfg";"summary",#N/A,FALSE,"mfg"}</definedName>
    <definedName name="abc9kn" hidden="1">{"detail",#N/A,FALSE,"mfg";"summary",#N/A,FALSE,"mfg"}</definedName>
    <definedName name="abca312" hidden="1">{"detail",#N/A,FALSE,"mfg";"summary",#N/A,FALSE,"mfg"}</definedName>
    <definedName name="abca312b" hidden="1">{"detail",#N/A,FALSE,"mfg";"summary",#N/A,FALSE,"mfg"}</definedName>
    <definedName name="abcd1" hidden="1">{#N/A,"PURCHM",FALSE,"Business Analysis";#N/A,"SPADD",FALSE,"Business Analysis"}</definedName>
    <definedName name="abcd10" hidden="1">{#N/A,"PURCHM",FALSE,"Business Analysis";#N/A,"SPADD",FALSE,"Business Analysis"}</definedName>
    <definedName name="abcd101" hidden="1">{#N/A,"PURCHM",FALSE,"Business Analysis";#N/A,"SPADD",FALSE,"Business Analysis"}</definedName>
    <definedName name="abcd10a" hidden="1">{#N/A,"PURCHM",FALSE,"Business Analysis";#N/A,"SPADD",FALSE,"Business Analysis"}</definedName>
    <definedName name="abcd11" hidden="1">{#N/A,"PURCHM",FALSE,"Business Analysis";#N/A,"SPADD",FALSE,"Business Analysis"}</definedName>
    <definedName name="abcd12" hidden="1">{#N/A,"PURCHM",FALSE,"Business Analysis";#N/A,"SPADD",FALSE,"Business Analysis"}</definedName>
    <definedName name="abcd12b" hidden="1">{#N/A,"PURCHM",FALSE,"Business Analysis";#N/A,"SPADD",FALSE,"Business Analysis"}</definedName>
    <definedName name="abcd2" hidden="1">{#N/A,"PURCHM",FALSE,"Business Analysis";#N/A,"SPADD",FALSE,"Business Analysis"}</definedName>
    <definedName name="abcd200" hidden="1">{#N/A,"PURCHM",FALSE,"Business Analysis";#N/A,"SPADD",FALSE,"Business Analysis"}</definedName>
    <definedName name="abcd200b" hidden="1">{#N/A,"PURCHM",FALSE,"Business Analysis";#N/A,"SPADD",FALSE,"Business Analysis"}</definedName>
    <definedName name="abcd202" hidden="1">{#N/A,"PURCHM",FALSE,"Business Analysis";#N/A,"SPADD",FALSE,"Business Analysis"}</definedName>
    <definedName name="abcd21" hidden="1">{#N/A,"PURCHM",FALSE,"Business Analysis";#N/A,"SPADD",FALSE,"Business Analysis"}</definedName>
    <definedName name="abcd212" hidden="1">{#N/A,"PURCHM",FALSE,"Business Analysis";#N/A,"SPADD",FALSE,"Business Analysis"}</definedName>
    <definedName name="abcd21225b" hidden="1">{#N/A,"PURCHM",FALSE,"Business Analysis";#N/A,"SPADD",FALSE,"Business Analysis"}</definedName>
    <definedName name="abcd212b" hidden="1">{#N/A,"PURCHM",FALSE,"Business Analysis";#N/A,"SPADD",FALSE,"Business Analysis"}</definedName>
    <definedName name="abcd213" hidden="1">{#N/A,"PURCHM",FALSE,"Business Analysis";#N/A,"SPADD",FALSE,"Business Analysis"}</definedName>
    <definedName name="abcd213b" hidden="1">{#N/A,"PURCHM",FALSE,"Business Analysis";#N/A,"SPADD",FALSE,"Business Analysis"}</definedName>
    <definedName name="abcd21kb" hidden="1">{#N/A,"PURCHM",FALSE,"Business Analysis";#N/A,"SPADD",FALSE,"Business Analysis"}</definedName>
    <definedName name="abcd254" hidden="1">{#N/A,"PURCHM",FALSE,"Business Analysis";#N/A,"SPADD",FALSE,"Business Analysis"}</definedName>
    <definedName name="abcd2ab" hidden="1">{#N/A,"PURCHM",FALSE,"Business Analysis";#N/A,"SPADD",FALSE,"Business Analysis"}</definedName>
    <definedName name="abcd312" hidden="1">{#N/A,"PURCHM",FALSE,"Business Analysis";#N/A,"SPADD",FALSE,"Business Analysis"}</definedName>
    <definedName name="abcd312bd" hidden="1">{#N/A,"PURCHM",FALSE,"Business Analysis";#N/A,"SPADD",FALSE,"Business Analysis"}</definedName>
    <definedName name="abcd32" hidden="1">{#N/A,"PURCHM",FALSE,"Business Analysis";#N/A,"SPADD",FALSE,"Business Analysis"}</definedName>
    <definedName name="abcd32b" hidden="1">{#N/A,"PURCHM",FALSE,"Business Analysis";#N/A,"SPADD",FALSE,"Business Analysis"}</definedName>
    <definedName name="abcd33" hidden="1">{"detail",#N/A,FALSE,"mfg";"summary",#N/A,FALSE,"mfg"}</definedName>
    <definedName name="abcd33b" hidden="1">{"detail",#N/A,FALSE,"mfg";"summary",#N/A,FALSE,"mfg"}</definedName>
    <definedName name="abcd34" hidden="1">{#N/A,"PURCHM",FALSE,"Business Analysis";#N/A,"SPADD",FALSE,"Business Analysis"}</definedName>
    <definedName name="abcd34b" hidden="1">{#N/A,"PURCHM",FALSE,"Business Analysis";#N/A,"SPADD",FALSE,"Business Analysis"}</definedName>
    <definedName name="abcd35" hidden="1">{#N/A,"PURCHM",FALSE,"Business Analysis";#N/A,"SPADD",FALSE,"Business Analysis"}</definedName>
    <definedName name="abcd35b" hidden="1">{#N/A,"PURCHM",FALSE,"Business Analysis";#N/A,"SPADD",FALSE,"Business Analysis"}</definedName>
    <definedName name="abcd36" hidden="1">{"detail",#N/A,FALSE,"mfg";"summary",#N/A,FALSE,"mfg"}</definedName>
    <definedName name="abcd36b" hidden="1">{"detail",#N/A,FALSE,"mfg";"summary",#N/A,FALSE,"mfg"}</definedName>
    <definedName name="abcd39" hidden="1">{#N/A,"PURCHM",FALSE,"Business Analysis";#N/A,"SPADD",FALSE,"Business Analysis"}</definedName>
    <definedName name="abcd39bd" hidden="1">{#N/A,"PURCHM",FALSE,"Business Analysis";#N/A,"SPADD",FALSE,"Business Analysis"}</definedName>
    <definedName name="ABCD41" hidden="1">{#N/A,"PURCHM",FALSE,"Business Analysis";#N/A,"SPADD",FALSE,"Business Analysis"}</definedName>
    <definedName name="abcd412" hidden="1">{#N/A,"PURCHM",FALSE,"Business Analysis";#N/A,"SPADD",FALSE,"Business Analysis"}</definedName>
    <definedName name="abcd412bd" hidden="1">{#N/A,"PURCHM",FALSE,"Business Analysis";#N/A,"SPADD",FALSE,"Business Analysis"}</definedName>
    <definedName name="abcd41bd" hidden="1">{#N/A,"PURCHM",FALSE,"Business Analysis";#N/A,"SPADD",FALSE,"Business Analysis"}</definedName>
    <definedName name="abcd42" hidden="1">{#N/A,"PURCHM",FALSE,"Business Analysis";#N/A,"SPADD",FALSE,"Business Analysis"}</definedName>
    <definedName name="abcd42bd" hidden="1">{#N/A,"PURCHM",FALSE,"Business Analysis";#N/A,"SPADD",FALSE,"Business Analysis"}</definedName>
    <definedName name="abcd45" hidden="1">{#N/A,"PURCHM",FALSE,"Business Analysis";#N/A,"SPADD",FALSE,"Business Analysis"}</definedName>
    <definedName name="abcd45bd" hidden="1">{#N/A,"PURCHM",FALSE,"Business Analysis";#N/A,"SPADD",FALSE,"Business Analysis"}</definedName>
    <definedName name="abcd50" hidden="1">{#N/A,"PURCHM",FALSE,"Business Analysis";#N/A,"SPADD",FALSE,"Business Analysis"}</definedName>
    <definedName name="abcd51" hidden="1">{#N/A,"PURCHM",FALSE,"Business Analysis";#N/A,"SPADD",FALSE,"Business Analysis"}</definedName>
    <definedName name="abcd51bd" hidden="1">{#N/A,"PURCHM",FALSE,"Business Analysis";#N/A,"SPADD",FALSE,"Business Analysis"}</definedName>
    <definedName name="abcd61" hidden="1">{#N/A,"PURCHM",FALSE,"Business Analysis";#N/A,"SPADD",FALSE,"Business Analysis"}</definedName>
    <definedName name="abcd61bd" hidden="1">{#N/A,"PURCHM",FALSE,"Business Analysis";#N/A,"SPADD",FALSE,"Business Analysis"}</definedName>
    <definedName name="abcd71" hidden="1">{#N/A,"PURCHM",FALSE,"Business Analysis";#N/A,"SPADD",FALSE,"Business Analysis"}</definedName>
    <definedName name="abcd71bd" hidden="1">{#N/A,"PURCHM",FALSE,"Business Analysis";#N/A,"SPADD",FALSE,"Business Analysis"}</definedName>
    <definedName name="abcd90" hidden="1">{#N/A,"PURCHM",FALSE,"Business Analysis";#N/A,"SPADD",FALSE,"Business Analysis"}</definedName>
    <definedName name="abcd98b" hidden="1">{#N/A,"PURCHM",FALSE,"Business Analysis";#N/A,"SPADD",FALSE,"Business Analysis"}</definedName>
    <definedName name="abcda" hidden="1">{#N/A,"PURCHM",FALSE,"Business Analysis";#N/A,"SPADD",FALSE,"Business Analysis"}</definedName>
    <definedName name="abcda101" hidden="1">{#N/A,"PURCHM",FALSE,"Business Analysis";#N/A,"SPADD",FALSE,"Business Analysis"}</definedName>
    <definedName name="abcdmibh" hidden="1">{#N/A,"PURCHM",FALSE,"Business Analysis";#N/A,"SPADD",FALSE,"Business Analysis"}</definedName>
    <definedName name="abcdv102" hidden="1">{#N/A,"PURCHM",FALSE,"Business Analysis";#N/A,"SPADD",FALSE,"Business Analysis"}</definedName>
    <definedName name="abcdv102d" hidden="1">{#N/A,"PURCHM",FALSE,"Business Analysis";#N/A,"SPADD",FALSE,"Business Analysis"}</definedName>
    <definedName name="abci9" hidden="1">{#N/A,"PURCHM",FALSE,"Business Analysis";#N/A,"SPADD",FALSE,"Business Analysis"}</definedName>
    <definedName name="abci92" hidden="1">{#N/A,"PURCHM",FALSE,"Business Analysis";#N/A,"SPADD",FALSE,"Business Analysis"}</definedName>
    <definedName name="abcj9i" hidden="1">{"detail",#N/A,FALSE,"mfg";"summary",#N/A,FALSE,"mfg"}</definedName>
    <definedName name="abckg" hidden="1">{#N/A,"PURCHM",FALSE,"Business Analysis";#N/A,"SPADD",FALSE,"Business Analysis"}</definedName>
    <definedName name="abcklg" hidden="1">{"detail",#N/A,FALSE,"mfg";"summary",#N/A,FALSE,"mfg"}</definedName>
    <definedName name="abcl96\" hidden="1">{#N/A,"PURCHM",FALSE,"Business Analysis";#N/A,"SPADD",FALSE,"Business Analysis"}</definedName>
    <definedName name="abclkj" hidden="1">{"detail",#N/A,FALSE,"mfg";"summary",#N/A,FALSE,"mfg"}</definedName>
    <definedName name="abclxs" hidden="1">{"detail",#N/A,FALSE,"mfg";"summary",#N/A,FALSE,"mfg"}</definedName>
    <definedName name="abcoi" hidden="1">{"detail",#N/A,FALSE,"mfg";"summary",#N/A,FALSE,"mfg"}</definedName>
    <definedName name="abcois" hidden="1">{"detail",#N/A,FALSE,"mfg";"summary",#N/A,FALSE,"mfg"}</definedName>
    <definedName name="abji" hidden="1">{#N/A,"PURCHM",FALSE,"Business Analysis";#N/A,"SPADD",FALSE,"Business Analysis"}</definedName>
    <definedName name="abki9" hidden="1">{#N/A,"PURCHM",FALSE,"Business Analysis";#N/A,"SPADD",FALSE,"Business Analysis"}</definedName>
    <definedName name="ablo5" hidden="1">{#N/A,"PURCHM",FALSE,"Business Analysis";#N/A,"SPADD",FALSE,"Business Analysis"}</definedName>
    <definedName name="ac" hidden="1">{#N/A,"PURCHM",FALSE,"Business Analysis";#N/A,"SPADD",FALSE,"Business Analysis"}</definedName>
    <definedName name="accs" hidden="1">{"detail",#N/A,FALSE,"mfg";"summary",#N/A,FALSE,"mfg"}</definedName>
    <definedName name="actionpl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dasd" hidden="1">{#N/A,#N/A,FALSE,"KA CH  (2)"}</definedName>
    <definedName name="adc" hidden="1">{#N/A,"PURCHM",FALSE,"Business Analysis";#N/A,"SPADD",FALSE,"Business Analysis"}</definedName>
    <definedName name="adfd" hidden="1">{"sales growth",#N/A,FALSE,"summary";"oper income",#N/A,FALSE,"summary";"oros rank",#N/A,FALSE,"summary";"net assets",#N/A,FALSE,"summary";"asset turnover",#N/A,FALSE,"summary";"orona",#N/A,FALSE,"summary"}</definedName>
    <definedName name="adfgasdysty" hidden="1">{#N/A,#N/A,FALSE,"REPORT"}</definedName>
    <definedName name="adfsfjfjky" hidden="1">{#N/A,#N/A,FALSE,"REPORT"}</definedName>
    <definedName name="adgfgd" hidden="1">{"detail",#N/A,FALSE,"mfg";"summary",#N/A,FALSE,"mfg"}</definedName>
    <definedName name="ads" hidden="1">{"detail",#N/A,FALSE,"mfg";"summary",#N/A,FALSE,"mfg"}</definedName>
    <definedName name="adsf" hidden="1">{"QTD",#N/A,FALSE,"SUM"}</definedName>
    <definedName name="adsfg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ew" hidden="1">{#N/A,"PURCHM",FALSE,"Business Analysis";#N/A,"SPADD",FALSE,"Business Analysis"}</definedName>
    <definedName name="afc" hidden="1">{"detail",#N/A,FALSE,"mfg";"summary",#N/A,FALSE,"mfg"}</definedName>
    <definedName name="AFDADSFDAS" hidden="1">{#N/A,#N/A,FALSE,"REPORT"}</definedName>
    <definedName name="afds" hidden="1">{"YTD",#N/A,FALSE,"SUM"}</definedName>
    <definedName name="africa" hidden="1">{#N/A,#N/A,FALSE,"CNS";#N/A,#N/A,FALSE,"Serz";#N/A,#N/A,FALSE,"Ace"}</definedName>
    <definedName name="ag" hidden="1">{"detail",#N/A,FALSE,"mfg";"summary",#N/A,FALSE,"mfg"}</definedName>
    <definedName name="agafdhsdh" hidden="1">{#N/A,#N/A,FALSE,"REPORT"}</definedName>
    <definedName name="agcd22" hidden="1">{#N/A,"PURCHM",FALSE,"Business Analysis";#N/A,"SPADD",FALSE,"Business Analysis"}</definedName>
    <definedName name="agcd22bd" hidden="1">{#N/A,"PURCHM",FALSE,"Business Analysis";#N/A,"SPADD",FALSE,"Business Analysis"}</definedName>
    <definedName name="agfdg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agsgaghgfj" hidden="1">{#N/A,#N/A,FALSE,"Pharm";#N/A,#N/A,FALSE,"WWCM"}</definedName>
    <definedName name="ah" hidden="1">{"detail",#N/A,FALSE,"mfg";"summary",#N/A,FALSE,"mfg"}</definedName>
    <definedName name="aj" hidden="1">{"detail",#N/A,FALSE,"mfg";"summary",#N/A,FALSE,"mfg"}</definedName>
    <definedName name="alex" hidden="1">{#N/A,#N/A,FALSE,"REPORT"}</definedName>
    <definedName name="alexan" hidden="1">{#N/A,#N/A,FALSE,"REPORT"}</definedName>
    <definedName name="älll" hidden="1">{#N/A,#N/A,FALSE,"Produkte Erw.";#N/A,#N/A,FALSE,"Produkte Plan";#N/A,#N/A,FALSE,"Leistungen Erw.";#N/A,#N/A,FALSE,"Leistungen Plan";#N/A,#N/A,FALSE,"KA Allg.Kosten (2)";#N/A,#N/A,FALSE,"KA All.Kosten"}</definedName>
    <definedName name="añ" hidden="1">{"Performance Details",#N/A,FALSE,"Current Yr";"Performance Details",#N/A,FALSE,"Budget";"Performance Details",#N/A,FALSE,"Prior Year"}</definedName>
    <definedName name="andy" hidden="1">{#N/A,#N/A,FALSE,"REPORT"}</definedName>
    <definedName name="anscount" hidden="1">1</definedName>
    <definedName name="äöäö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qw" hidden="1">{#N/A,"PURCHM",FALSE,"Business Analysis";#N/A,"SPADD",FALSE,"Business Analysis"}</definedName>
    <definedName name="AS" hidden="1">{#N/A,#N/A,FALSE,"Pharm";#N/A,#N/A,FALSE,"WWCM"}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d" hidden="1">{#N/A,#N/A,FALSE,"Pharm";#N/A,#N/A,FALSE,"WWCM"}</definedName>
    <definedName name="asdf" hidden="1">{"Commentary",#N/A,FALSE,"May"}</definedName>
    <definedName name="asdfdfddfs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sedfdf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asf" hidden="1">{"QTD",#N/A,FALSE,"SUM"}</definedName>
    <definedName name="asffghujyki" hidden="1">{#N/A,#N/A,FALSE,"Pharm";#N/A,#N/A,FALSE,"WWCM"}</definedName>
    <definedName name="asqq" hidden="1">{"Performance Details",#N/A,FALSE,"Current Yr";"Performance Details",#N/A,FALSE,"Budget";"Performance Details",#N/A,FALSE,"Prior Year"}</definedName>
    <definedName name="ASSA" hidden="1">{#N/A,#N/A,FALSE,"1";#N/A,#N/A,FALSE,"2";#N/A,#N/A,FALSE,"16 - 17";#N/A,#N/A,FALSE,"18 - 19";#N/A,#N/A,FALSE,"26";#N/A,#N/A,FALSE,"27";#N/A,#N/A,FALSE,"28"}</definedName>
    <definedName name="aswe" hidden="1">{"TXO2N2_GP",#N/A,FALSE,"MTHLYGP";"TXH2_GP",#N/A,FALSE,"MTHLYGP";"LOUIS_GP",#N/A,FALSE,"MTHLYGP";"H2_GP",#N/A,FALSE,"MTHLYGP";"O2N2_GP",#N/A,FALSE,"MTHLYGP";"PACKAGE_GP",#N/A,FALSE,"MTHLYGP";"OTHER_GP",#N/A,FALSE,"MTHLYGP"}</definedName>
    <definedName name="awq" hidden="1">{"YTD",#N/A,FALSE,"SUM"}</definedName>
    <definedName name="awqe" hidden="1">{"net assets",#N/A,FALSE,"summary";"asset turnover",#N/A,FALSE,"summary";"orona",#N/A,FALSE,"summary"}</definedName>
    <definedName name="awqx" hidden="1">{"Comp_of_Price_Effect",#N/A,FALSE,"QTRDPVAR"}</definedName>
    <definedName name="AX" hidden="1">{#N/A,#N/A,FALSE,"Pharm";#N/A,#N/A,FALSE,"WWCM"}</definedName>
    <definedName name="axs" hidden="1">{"QTD",#N/A,FALSE,"SUM"}</definedName>
    <definedName name="axz" hidden="1">{#N/A,"PURCHM",FALSE,"Business Analysis";#N/A,"SPADD",FALSE,"Business Analysis"}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acd1101bd" hidden="1">{#N/A,"PURCHM",FALSE,"Business Analysis";#N/A,"SPADD",FALSE,"Business Analysis"}</definedName>
    <definedName name="bacd31" hidden="1">{#N/A,"PURCHM",FALSE,"Business Analysis";#N/A,"SPADD",FALSE,"Business Analysis"}</definedName>
    <definedName name="bacd31bd" hidden="1">{#N/A,"PURCHM",FALSE,"Business Analysis";#N/A,"SPADD",FALSE,"Business Analysis"}</definedName>
    <definedName name="bb" hidden="1">{"vol data",#N/A,FALSE,"Datasheet";"vol graph",#N/A,FALSE,"Volume";"price data",#N/A,FALSE,"Datasheet";"price graph",#N/A,FALSE,"Price";"dp data",#N/A,FALSE,"Datasheet";"dp graph",#N/A,FALSE,"DirectProfit"}</definedName>
    <definedName name="bb.gb._98" hidden="1">{#N/A,#N/A,FALSE,"Umsatz 99";#N/A,#N/A,FALSE,"ER 99 "}</definedName>
    <definedName name="bb.gb._99" hidden="1">{#N/A,#N/A,FALSE,"Umsatz 99";#N/A,#N/A,FALSE,"ER 99 "}</definedName>
    <definedName name="bbb" hidden="1">{"QTR494",#N/A,FALSE,"4Q94";"QTR394",#N/A,FALSE,"3Q94";"QTR294",#N/A,FALSE,"2Q94"}</definedName>
    <definedName name="bbbb" hidden="1">{#N/A,#N/A,FALSE,"REPORT"}</definedName>
    <definedName name="bbbbb" hidden="1">{#N/A,#N/A,FALSE,"Pharm";#N/A,#N/A,FALSE,"WWCM"}</definedName>
    <definedName name="BBBBBB" hidden="1">{#N/A,#N/A,FALSE,"REPORT"}</definedName>
    <definedName name="bbbbbbb" hidden="1">{"detail",#N/A,FALSE,"mfg";"summary",#N/A,FALSE,"mfg"}</definedName>
    <definedName name="BBBBBBBBB" hidden="1">{#N/A,#N/A,FALSE,"REPORT"}</definedName>
    <definedName name="bbbbbbbbbb" hidden="1">{"detail",#N/A,FALSE,"mfg";"summary",#N/A,FALSE,"mfg"}</definedName>
    <definedName name="bbbbbbbbbbbbb" hidden="1">{#N/A,#N/A,FALSE,"Pharm";#N/A,#N/A,FALSE,"WWCM"}</definedName>
    <definedName name="bbbbbbbbbbbbbbbbbbbb" hidden="1">{"detail",#N/A,FALSE,"mfg";"summary",#N/A,FALSE,"mfg"}</definedName>
    <definedName name="bbvcx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bcd" hidden="1">{"detail",#N/A,FALSE,"mfg";"summary",#N/A,FALSE,"mfg"}</definedName>
    <definedName name="bg" hidden="1">{"net assets",#N/A,FALSE,"summary";"asset turnover",#N/A,FALSE,"summary";"orona",#N/A,FALSE,"summary"}</definedName>
    <definedName name="BG_Del" hidden="1">15</definedName>
    <definedName name="BG_Ins" hidden="1">4</definedName>
    <definedName name="BG_Mod" hidden="1">6</definedName>
    <definedName name="bimdk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w09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rth_Rate" hidden="1">[4]InitialScreen!$C$208</definedName>
    <definedName name="bkls" hidden="1">{#N/A,"PURCHM",FALSE,"Business Analysis";#N/A,"SPADD",FALSE,"Business Analysis"}</definedName>
    <definedName name="bmbnmn" hidden="1">{#N/A,#N/A,FALSE,"KA CH  (2)"}</definedName>
    <definedName name="b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bnbn" hidden="1">{"oct_res_comm",#N/A,FALSE,"VarToBud"}</definedName>
    <definedName name="bnm" hidden="1">{#N/A,#N/A,FALSE,"REPORT"}</definedName>
    <definedName name="bnmk" hidden="1">{#N/A,#N/A,FALSE,"Produkte Erw.";#N/A,#N/A,FALSE,"Produkte Plan";#N/A,#N/A,FALSE,"Leistungen Erw.";#N/A,#N/A,FALSE,"Leistungen Plan";#N/A,#N/A,FALSE,"KA Allg.Kosten (2)";#N/A,#N/A,FALSE,"KA All.Kosten"}</definedName>
    <definedName name="bnmm" hidden="1">{"detail",#N/A,FALSE,"mfg";"summary",#N/A,FALSE,"mfg"}</definedName>
    <definedName name="both203" hidden="1">{"detail",#N/A,FALSE,"mfg";"summary",#N/A,FALSE,"mfg"}</definedName>
    <definedName name="both204" hidden="1">{"detail",#N/A,FALSE,"mfg";"summary",#N/A,FALSE,"mfg"}</definedName>
    <definedName name="both89n" hidden="1">{"detail",#N/A,FALSE,"mfg";"summary",#N/A,FALSE,"mfg"}</definedName>
    <definedName name="both8mj" hidden="1">{"detail",#N/A,FALSE,"mfg";"summary",#N/A,FALSE,"mfg"}</definedName>
    <definedName name="br" hidden="1">{"oct_res_comm",#N/A,FALSE,"VarToBud"}</definedName>
    <definedName name="Bry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t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buibd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ll" hidden="1">{"detail",#N/A,FALSE,"mfg";"summary",#N/A,FALSE,"mfg"}</definedName>
    <definedName name="bull2" hidden="1">{#N/A,"PURCHM",FALSE,"Business Analysis";#N/A,"SPADD",FALSE,"Business Analysis"}</definedName>
    <definedName name="bull3" hidden="1">{"detail",#N/A,FALSE,"mfg";"summary",#N/A,FALSE,"mfg"}</definedName>
    <definedName name="bull4" hidden="1">{#N/A,"PURCHM",FALSE,"Business Analysis";#N/A,"SPADD",FALSE,"Business Analysis"}</definedName>
    <definedName name="bull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usais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v" hidden="1">{"net assets",#N/A,FALSE,"summary";"asset turnover",#N/A,FALSE,"summary";"orona",#N/A,FALSE,"summary"}</definedName>
    <definedName name="bvcx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bz" hidden="1">{"sales growth",#N/A,FALSE,"summary";"oper income",#N/A,FALSE,"summary";"oros rank",#N/A,FALSE,"summary";"net assets",#N/A,FALSE,"summary";"asset turnover",#N/A,FALSE,"summary";"orona",#N/A,FALSE,"summary"}</definedName>
    <definedName name="CapSpendingExcludesSanFu" hidden="1">{"detail",#N/A,FALSE,"mfg";"summary",#N/A,FALSE,"mfg"}</definedName>
    <definedName name="c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ccc" hidden="1">{"detail",#N/A,FALSE,"mfg";"summary",#N/A,FALSE,"mfg"}</definedName>
    <definedName name="ccf" hidden="1">{"YD PRS",#N/A,FALSE,"YTD"}</definedName>
    <definedName name="cdds" hidden="1">{"detail",#N/A,FALSE,"mfg";"summary",#N/A,FALSE,"mfg"}</definedName>
    <definedName name="cdf" hidden="1">{"sales growth",#N/A,FALSE,"summary";"oper income",#N/A,FALSE,"summary";"oros rank",#N/A,FALSE,"summary";"net assets",#N/A,FALSE,"summary";"asset turnover",#N/A,FALSE,"summary";"orona",#N/A,FALSE,"summary"}</definedName>
    <definedName name="cds" hidden="1">{"detail",#N/A,FALSE,"mfg";"summary",#N/A,FALSE,"mfg"}</definedName>
    <definedName name="cea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cew" hidden="1">{"ICD Details",#N/A,FALSE,"Current Yr";"ICD Details",#N/A,FALSE,"Budget";"ICD Details",#N/A,FALSE,"Prior Year"}</definedName>
    <definedName name="cf" hidden="1">{"detail",#N/A,FALSE,"mfg";"summary",#N/A,FALSE,"mfg"}</definedName>
    <definedName name="cfg" hidden="1">{"Act_vs_Budget",#N/A,FALSE,"QTRDPVAR";"Act_vs_Prior_Year",#N/A,FALSE,"QTRDPVAR"}</definedName>
    <definedName name="cfs" hidden="1">{"YD LOUISIANA",#N/A,FALSE,"YTD"}</definedName>
    <definedName name="Chart" hidden="1">{#N/A,#N/A,FALSE,"Pharm";#N/A,#N/A,FALSE,"WWCM"}</definedName>
    <definedName name="chosie" hidden="1">{#N/A,#N/A,FALSE,"Pharm";#N/A,#N/A,FALSE,"WWCM"}</definedName>
    <definedName name="CIQWBGuid" hidden="1">"beb8d4c7-1ed9-4d6c-b1f1-b1b47beb7477"</definedName>
    <definedName name="cjghj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COGstandard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cs" hidden="1">{"AS REP",#N/A,FALSE,"EEFSNAP2";"PROP",#N/A,FALSE,"EEFSNAP2";"RISKS",#N/A,FALSE,"EEFSNAP2";"VIEW ALL",#N/A,FALSE,"EEFSNAP2"}</definedName>
    <definedName name="csa" hidden="1">{"TXO2N2_GP",#N/A,FALSE,"MTHLYGP";"TXH2_GP",#N/A,FALSE,"MTHLYGP";"LOUIS_GP",#N/A,FALSE,"MTHLYGP";"H2_GP",#N/A,FALSE,"MTHLYGP";"O2N2_GP",#N/A,FALSE,"MTHLYGP";"PACKAGE_GP",#N/A,FALSE,"MTHLYGP";"OTHER_GP",#N/A,FALSE,"MTHLYGP"}</definedName>
    <definedName name="cvb" hidden="1">{"detail",#N/A,FALSE,"mfg";"summary",#N/A,FALSE,"mfg"}</definedName>
    <definedName name="cvbn" hidden="1">{"vol data",#N/A,FALSE,"Datasheet";"vol graph",#N/A,FALSE,"Volume";"price data",#N/A,FALSE,"Datasheet";"price graph",#N/A,FALSE,"Price";"dp data",#N/A,FALSE,"Datasheet";"dp graph",#N/A,FALSE,"DirectProfit"}</definedName>
    <definedName name="cvc" hidden="1">{#N/A,#N/A,FALSE,"KA CH  (2)"}</definedName>
    <definedName name="cvcv" hidden="1">{"AS REP",#N/A,FALSE,"EEFSNAP2";"PROP",#N/A,FALSE,"EEFSNAP2";"RISKS",#N/A,FALSE,"EEFSNAP2";"VIEW ALL",#N/A,FALSE,"EEFSNAP2"}</definedName>
    <definedName name="cxv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cxvsd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cz" hidden="1">{"pro_view",#N/A,FALSE,"EEFSNAP2";"rep_view",#N/A,FALSE,"EEFSNAP2"}</definedName>
    <definedName name="czf" hidden="1">{"AS REP",#N/A,FALSE,"EEFSNAP2";"PROP",#N/A,FALSE,"EEFSNAP2";"RISKS",#N/A,FALSE,"EEFSNAP2";"VIEW ALL",#N/A,FALSE,"EEFSNAP2"}</definedName>
    <definedName name="DAD" hidden="1">{#N/A,#N/A,FALSE,"REPORT"}</definedName>
    <definedName name="DADF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kfkjafgkeaj" hidden="1">{#N/A,#N/A,FALSE,"Pharm";#N/A,#N/A,FALSE,"WWCM"}</definedName>
    <definedName name="das" hidden="1">{#N/A,#N/A,FALSE,"Produkte Erw.";#N/A,#N/A,FALSE,"Produkte Plan";#N/A,#N/A,FALSE,"Leistungen Erw.";#N/A,#N/A,FALSE,"Leistungen Plan";#N/A,#N/A,FALSE,"KA Allg.Kosten (2)";#N/A,#N/A,FALSE,"KA All.Kosten"}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dddddd" hidden="1">{"detail",#N/A,FALSE,"mfg";"summary",#N/A,FALSE,"mfg"}</definedName>
    <definedName name="ddf" hidden="1">{#N/A,#N/A,FALSE,"KA CH  (2)"}</definedName>
    <definedName name="ddx" hidden="1">{"YD LAPO2",#N/A,FALSE,"YTD";"YD LPH2",#N/A,FALSE,"YTD";"YD LOUISIANA",#N/A,FALSE,"YTD";"YD GENERALH2",#N/A,FALSE,"YTD";"YD PRS",#N/A,FALSE,"YTD";"YD PACKAGE",#N/A,FALSE,"YTD";"YD OTHER",#N/A,FALSE,"YTD"}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ath_Rate" hidden="1">[4]InitialScreen!$C$209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devc" hidden="1">{"TOTTEXAS",#N/A,FALSE,"CM"}</definedName>
    <definedName name="DEZLFEZKLHF" hidden="1">{#N/A,#N/A,FALSE,"Pharm";#N/A,#N/A,FALSE,"WWCM"}</definedName>
    <definedName name="DFDD" hidden="1">{#N/A,#N/A,FALSE,"REPORT"}</definedName>
    <definedName name="dfg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fgfd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fdgf" hidden="1">{#N/A,#N/A,FALSE,"Produkte Erw.";#N/A,#N/A,FALSE,"Produkte Plan";#N/A,#N/A,FALSE,"Leistungen Erw.";#N/A,#N/A,FALSE,"Leistungen Plan";#N/A,#N/A,FALSE,"KA Allg.Kosten (2)";#N/A,#N/A,FALSE,"KA All.Kosten"}</definedName>
    <definedName name="dfgf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dfggfh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h" hidden="1">{#N/A,"PURCHM",FALSE,"Business Analysis";#N/A,"SPADD",FALSE,"Business Analysis"}</definedName>
    <definedName name="dfghdfhdg" hidden="1">{#N/A,#N/A,FALSE,"Umsatz 99";#N/A,#N/A,FALSE,"ER 99 "}</definedName>
    <definedName name="dfr" hidden="1">{#N/A,#N/A,FALSE,"Pharm";#N/A,#N/A,FALSE,"WWCM"}</definedName>
    <definedName name="df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dfsdfds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gfsdfsdf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dghgh" hidden="1">{#N/A,#N/A,FALSE,"Produkte Erw.";#N/A,#N/A,FALSE,"Produkte Plan";#N/A,#N/A,FALSE,"Leistungen Erw.";#N/A,#N/A,FALSE,"Leistungen Plan";#N/A,#N/A,FALSE,"KA Allg.Kosten (2)";#N/A,#N/A,FALSE,"KA All.Kosten"}</definedName>
    <definedName name="Discount_Rate" hidden="1">[4]InitialScreen!$C$205</definedName>
    <definedName name="djksljd" hidden="1">{#N/A,#N/A,FALSE,"Other";#N/A,#N/A,FALSE,"Ace";#N/A,#N/A,FALSE,"Derm"}</definedName>
    <definedName name="dkgahirghigf" hidden="1">{#N/A,#N/A,FALSE,"Pharm";#N/A,#N/A,FALSE,"WWCM"}</definedName>
    <definedName name="DME_BeforeCloseCompleted" hidden="1">"False"</definedName>
    <definedName name="DME_Dirty" hidden="1">"False"</definedName>
    <definedName name="dog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dq" hidden="1">{"Comp_of_Price_Effect",#N/A,FALSE,"QTRDPVAR"}</definedName>
    <definedName name="dr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rw" hidden="1">{"PAGE 1",#N/A,FALSE,"COS";"PAGE 2",#N/A,FALSE,"COS";"PAGE 3",#N/A,FALSE,"COS"}</definedName>
    <definedName name="dsdafgsa" hidden="1">{"Performance Details",#N/A,FALSE,"Current Yr";"Performance Details",#N/A,FALSE,"Budget";"Performance Details",#N/A,FALSE,"Prior Year"}</definedName>
    <definedName name="dse" hidden="1">{"YTDACT",#N/A,FALSE,"YTD Cum";"YTDBUD",#N/A,FALSE,"YTD Cum";"YTDPRIOR",#N/A,FALSE,"YTD Cum"}</definedName>
    <definedName name="dsfsf" hidden="1">{"detail",#N/A,FALSE,"mfg";"summary",#N/A,FALSE,"mfg"}</definedName>
    <definedName name="dsfsffss" hidden="1">{#N/A,#N/A,FALSE,"Pharm";#N/A,#N/A,FALSE,"WWCM"}</definedName>
    <definedName name="dsgfhgfv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swe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wx" hidden="1">{"Comp_of_Price_Effect",#N/A,FALSE,"QTRDPVAR"}</definedName>
    <definedName name="dx" hidden="1">{"Month Summary",#N/A,FALSE,"Summary";"Total Details",#N/A,FALSE,"Current Yr";"Polymers Details",#N/A,FALSE,"Current Yr";"Performance Details",#N/A,FALSE,"Current Yr";"ICD Details",#N/A,FALSE,"Current Yr"}</definedName>
    <definedName name="ed" hidden="1">{"vol data",#N/A,FALSE,"Datasheet";"vol graph",#N/A,FALSE,"Volume";"price data",#N/A,FALSE,"Datasheet";"price graph",#N/A,FALSE,"Price";"dp data",#N/A,FALSE,"Datasheet";"dp graph",#N/A,FALSE,"DirectProfit"}</definedName>
    <definedName name="ee" hidden="1">{#N/A,#N/A,FALSE,"KA CH  (2)"}</definedName>
    <definedName name="EEE" hidden="1">{#N/A,#N/A,FALSE,"Pharm";#N/A,#N/A,FALSE,"WWCM"}</definedName>
    <definedName name="eee.l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eeee" hidden="1">{"YD LAPO2",#N/A,FALSE,"YTD"}</definedName>
    <definedName name="eeeee" hidden="1">{#N/A,#N/A,FALSE,"Pharm";#N/A,#N/A,FALSE,"WWCM"}</definedName>
    <definedName name="eeeeee" hidden="1">{"YD OTHER",#N/A,FALSE,"YTD"}</definedName>
    <definedName name="eeeeeee" hidden="1">{"YD LPH2",#N/A,FALSE,"YTD"}</definedName>
    <definedName name="eeeeeeee" hidden="1">{"Pg1",#N/A,FALSE,"OpExYTDvsBud";"Pg2",#N/A,FALSE,"OpExYTDvsBud"}</definedName>
    <definedName name="eeeeeeeee" hidden="1">{"Pa1",#N/A,FALSE,"OpExYTDvsPY";"Pa2",#N/A,FALSE,"OpExYTDvsPY"}</definedName>
    <definedName name="eeeeeeeeee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eeeeeeeeee" hidden="1">{#N/A,"PURCHM",FALSE,"Business Analysis";#N/A,"SPADD",FALSE,"Business Analysis"}</definedName>
    <definedName name="eeeeeeeeeeee" hidden="1">{"pro_view",#N/A,FALSE,"EEFSNAP2";"rep_view",#N/A,FALSE,"EEFSNAP2"}</definedName>
    <definedName name="eeeeeeeeeeeeee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er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ei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eings" hidden="1">{#N/A,"PURCHM",FALSE,"Business Analysis";#N/A,"SPADD",FALSE,"Business Analysis"}</definedName>
    <definedName name="ejkfgkjze" hidden="1">{#N/A,#N/A,FALSE,"Pharm";#N/A,#N/A,FALSE,"WWCM"}</definedName>
    <definedName name="eoflsru" hidden="1">{"QTD",#N/A,FALSE,"SUM"}</definedName>
    <definedName name="eoil" hidden="1">{"detail",#N/A,FALSE,"mfg";"summary",#N/A,FALSE,"mfg"}</definedName>
    <definedName name="EPMWorkbookOptions_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rd" hidden="1">{#N/A,#N/A,FALSE,"Pharm";#N/A,#N/A,FALSE,"WWCM"}</definedName>
    <definedName name="er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rr.g." hidden="1">{#N/A,#N/A,FALSE,"KA CH  (2)"}</definedName>
    <definedName name="errr.g" hidden="1">{#N/A,#N/A,FALSE,"KA CH  (2)"}</definedName>
    <definedName name="erryeyetyuu" hidden="1">{#N/A,#N/A,FALSE,"Pharm";#N/A,#N/A,FALSE,"WWCM"}</definedName>
    <definedName name="ert" hidden="1">{#N/A,#N/A,FALSE,"Umsatz 99";#N/A,#N/A,FALSE,"ER 99 "}</definedName>
    <definedName name="ertr" hidden="1">{#N/A,#N/A,FALSE,"Umsatz 99";#N/A,#N/A,FALSE,"ER 99 "}</definedName>
    <definedName name="ervnj" hidden="1">{"YTDACT",#N/A,FALSE,"YTD Cum";"YTDBUD",#N/A,FALSE,"YTD Cum";"YTDPRIOR",#N/A,FALSE,"YTD Cum"}</definedName>
    <definedName name="erw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SSAI" hidden="1">{#N/A,#N/A,FALSE,"Pharm";#N/A,#N/A,FALSE,"WWCM"}</definedName>
    <definedName name="et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tet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eu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EV__EVCOM_OPTIONS__" hidden="1">8</definedName>
    <definedName name="EV__EXPOPTIONS__" hidden="1">0</definedName>
    <definedName name="EV__LASTREFTIME__" hidden="1">"(GMT-05:00)7/17/2012 6:00:37 PM"</definedName>
    <definedName name="EV__MAXEXPCOLS__" hidden="1">100</definedName>
    <definedName name="EV__MAXEXPROWS__" hidden="1">65000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waw" hidden="1">{"Act_vs_Budget",#N/A,FALSE,"QTRDPVAR";"Act_vs_Prior_Year",#N/A,FALSE,"QTRDPVAR"}</definedName>
    <definedName name="ewdwqd" hidden="1">{#N/A,"PURCHM",FALSE,"Business Analysis";#N/A,"SPADD",FALSE,"Business Analysis"}</definedName>
    <definedName name="ewq" hidden="1">{"oct_res_comm",#N/A,FALSE,"VarToBud"}</definedName>
    <definedName name="ewv" hidden="1">{"Page1",#N/A,FALSE,"OpExJanvsBud";"Page2",#N/A,FALSE,"OpExJanvsBud"}</definedName>
    <definedName name="ewwe" hidden="1">{#N/A,#N/A,FALSE,"REPORT"}</definedName>
    <definedName name="eydsr" hidden="1">{#N/A,"PURCHM",FALSE,"Business Analysis";#N/A,"SPADD",FALSE,"Business Analysis"}</definedName>
    <definedName name="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.ffff" hidden="1">{#N/A,#N/A,FALSE,"Umsatz 99";#N/A,#N/A,FALSE,"ER 99 "}</definedName>
    <definedName name="fa" hidden="1">{"vol data",#N/A,FALSE,"Datasheet";"vol graph",#N/A,FALSE,"Volume";"price data",#N/A,FALSE,"Datasheet";"price graph",#N/A,FALSE,"Price";"dp data",#N/A,FALSE,"Datasheet";"dp graph",#N/A,FALSE,"DirectProfit"}</definedName>
    <definedName name="faa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castNumYears" hidden="1">[4]InitialScreen!$D$22</definedName>
    <definedName name="FcastStartYear" hidden="1">[4]InitialScreen!$D$20</definedName>
    <definedName name="fd" hidden="1">{"detail",#N/A,FALSE,"mfg";"summary",#N/A,FALSE,"mfg"}</definedName>
    <definedName name="fde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FDFD" hidden="1">{#N/A,#N/A,FALSE,"Pharm";#N/A,#N/A,FALSE,"WWCM"}</definedName>
    <definedName name="fdgdfgfdgf" hidden="1">{#N/A,#N/A,FALSE,"Produkte Erw.";#N/A,#N/A,FALSE,"Produkte Plan";#N/A,#N/A,FALSE,"Leistungen Erw.";#N/A,#N/A,FALSE,"Leistungen Plan";#N/A,#N/A,FALSE,"KA Allg.Kosten (2)";#N/A,#N/A,FALSE,"KA All.Kosten"}</definedName>
    <definedName name="fdgfd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dgfdgfdgfdg" hidden="1">{#N/A,#N/A,FALSE,"KA CH  (2)"}</definedName>
    <definedName name="fdgfdgsdgsdgs" hidden="1">{#N/A,#N/A,FALSE,"KA CH  (2)"}</definedName>
    <definedName name="FDQ" hidden="1">{"detail",#N/A,FALSE,"mfg";"summary",#N/A,FALSE,"mfg"}</definedName>
    <definedName name="fds" hidden="1">{#N/A,#N/A,FALSE,"Pharm";#N/A,#N/A,FALSE,"WWCM"}</definedName>
    <definedName name="fdsa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es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fetr" hidden="1">{"BA detail",#N/A,FALSE,"Q3YTD "}</definedName>
    <definedName name="fewq" hidden="1">{"Comp_of_Price_Effect",#N/A,FALSE,"QTRDPVAR"}</definedName>
    <definedName name="ff" hidden="1">{#N/A,#N/A,FALSE,"Pharm";#N/A,#N/A,FALSE,"WWCM"}</definedName>
    <definedName name="ffd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fdd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gf" hidden="1">{#N/A,#N/A,FALSE,"Umsatz 99";#N/A,#N/A,FALSE,"ER 99 "}</definedName>
    <definedName name="fg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fgf" hidden="1">{#N/A,#N/A,FALSE,"Umsatz 99";#N/A,#N/A,FALSE,"ER 99 "}</definedName>
    <definedName name="fgfx" hidden="1">{#N/A,#N/A,FALSE,"Umsatz 99";#N/A,#N/A,FALSE,"ER 99 "}</definedName>
    <definedName name="fgh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fghfghfghgfh" hidden="1">{#N/A,#N/A,FALSE,"KA CH  (2)"}</definedName>
    <definedName name="fghfghfghgfhgf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fghgf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ghfh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jfgjfgj" hidden="1">{#N/A,#N/A,FALSE,"Produkte Erw.";#N/A,#N/A,FALSE,"Produkte Plan";#N/A,#N/A,FALSE,"Leistungen Erw.";#N/A,#N/A,FALSE,"Leistungen Plan";#N/A,#N/A,FALSE,"KA Allg.Kosten (2)";#N/A,#N/A,FALSE,"KA All.Kosten"}</definedName>
    <definedName name="fgkjkh" hidden="1">{#N/A,#N/A,FALSE,"REPORT"}</definedName>
    <definedName name="fgsd" hidden="1">{"PAGE 1",#N/A,FALSE,"COS Excluding Geismar";"PAGE 2",#N/A,FALSE,"COS Excluding Geismar";"PAGE 3",#N/A,FALSE,"COS Excluding Geismar"}</definedName>
    <definedName name="fgt" hidden="1">{"Performance Details",#N/A,FALSE,"Current Yr";"Performance Details",#N/A,FALSE,"Budget";"Performance Details",#N/A,FALSE,"Prior Year"}</definedName>
    <definedName name="fh" hidden="1">{#N/A,#N/A,FALSE,"KA CH  (2)"}</definedName>
    <definedName name="f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rtz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FJEZK" hidden="1">{#N/A,#N/A,FALSE,"Pharm";#N/A,#N/A,FALSE,"WWCM"}</definedName>
    <definedName name="f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ance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r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ty" hidden="1">{"PRS",#N/A,FALSE,"CM"}</definedName>
    <definedName name="FVG" hidden="1">{#N/A,#N/A,FALSE,"Pharm";#N/A,#N/A,FALSE,"WWCM"}</definedName>
    <definedName name="fwer" hidden="1">{#N/A,"PURCHM",FALSE,"Business Analysis";#N/A,"SPADD",FALSE,"Business Analysis"}</definedName>
    <definedName name="fx" hidden="1">{"TOTTEXAS",#N/A,FALSE,"CM"}</definedName>
    <definedName name="g" hidden="1">{#N/A,#N/A,FALSE,"Pharm";#N/A,#N/A,FALSE,"WWCM"}</definedName>
    <definedName name="GDF" hidden="1">{"detail",#N/A,FALSE,"mfg";"summary",#N/A,FALSE,"mfg"}</definedName>
    <definedName name="gd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dfgdf" hidden="1">{#N/A,#N/A,FALSE,"Pharm";#N/A,#N/A,FALSE,"WWCM"}</definedName>
    <definedName name="gf" hidden="1">{#N/A,#N/A,FALSE,"KA CH  (2)"}</definedName>
    <definedName name="gfd" hidden="1">{#N/A,"PURCHM",FALSE,"Business Analysis";#N/A,"SPADD",FALSE,"Business Analysis"}</definedName>
    <definedName name="gfdjhjh" hidden="1">{#N/A,#N/A,FALSE,"Pharm";#N/A,#N/A,FALSE,"WWCM"}</definedName>
    <definedName name="gfds" hidden="1">{"oct_res_comm",#N/A,FALSE,"VarToBud"}</definedName>
    <definedName name="gfghdfgd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hfgh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fhfghgsdfghfg" hidden="1">{#N/A,#N/A,FALSE,"Umsatz 99";#N/A,#N/A,FALSE,"ER 99 "}</definedName>
    <definedName name="g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rr" hidden="1">{#N/A,#N/A,FALSE,"Umsatz 99";#N/A,#N/A,FALSE,"ER 99 "}</definedName>
    <definedName name="g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ggg" hidden="1">{#N/A,#N/A,FALSE,"Umsatz 99";#N/A,#N/A,FALSE,"ER 99 "}</definedName>
    <definedName name="gh" hidden="1">{"detail",#N/A,FALSE,"mfg";"summary",#N/A,FALSE,"mfg"}</definedName>
    <definedName name="g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h" hidden="1">{#N/A,#N/A,FALSE,"KA CH  (2)"}</definedName>
    <definedName name="g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.ljj" hidden="1">{#N/A,#N/A,FALSE,"Produkte Erw.";#N/A,#N/A,FALSE,"Produkte Plan";#N/A,#N/A,FALSE,"Leistungen Erw.";#N/A,#N/A,FALSE,"Leistungen Plan";#N/A,#N/A,FALSE,"KA Allg.Kosten (2)";#N/A,#N/A,FALSE,"KA All.Kosten"}</definedName>
    <definedName name="ghj.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ggjh" hidden="1">{#N/A,#N/A,FALSE,"Pharm";#N/A,#N/A,FALSE,"WWCM"}</definedName>
    <definedName name="ghjhg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jhgjh" hidden="1">{#N/A,#N/A,FALSE,"KA CH  (2)"}</definedName>
    <definedName name="ghjhj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hjk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hk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uifd" hidden="1">{#N/A,"PURCHM",FALSE,"Business Analysis";#N/A,"SPADD",FALSE,"Business Analysis"}</definedName>
    <definedName name="gjh" hidden="1">{#N/A,#N/A,FALSE,"Umsatz 99";#N/A,#N/A,FALSE,"ER 99 "}</definedName>
    <definedName name="gj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kj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lobal1" hidden="1">{#N/A,#N/A,FALSE,"Pharm";#N/A,#N/A,FALSE,"WWCM"}</definedName>
    <definedName name="graham" hidden="1">{"ICD Details",#N/A,FALSE,"Current Yr";"ICD Details",#N/A,FALSE,"Budget";"ICD Details",#N/A,FALSE,"Prior Year"}</definedName>
    <definedName name="graph" hidden="1">{#N/A,#N/A,FALSE,"REPORT"}</definedName>
    <definedName name="grghfgf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ty" hidden="1">{"QTD_PACKAGE",#N/A,FALSE,"QTD"}</definedName>
    <definedName name="g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h" hidden="1">{#N/A,#N/A,FALSE,"REPORT"}</definedName>
    <definedName name="h.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b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f" hidden="1">{"detail",#N/A,FALSE,"mfg";"summary",#N/A,FALSE,"mfg"}</definedName>
    <definedName name="HFinGraph" hidden="1">{#N/A,#N/A,FALSE,"Pharm";#N/A,#N/A,FALSE,"WWCM"}</definedName>
    <definedName name="hg" hidden="1">{"detail",#N/A,FALSE,"mfg";"summary",#N/A,FALSE,"mfg"}</definedName>
    <definedName name="hgfd" hidden="1">{"BA detail",#N/A,FALSE,"Q3YTD "}</definedName>
    <definedName name="hgjghjhhg" hidden="1">{#N/A,#N/A,FALSE,"Produkte Erw.";#N/A,#N/A,FALSE,"Produkte Plan";#N/A,#N/A,FALSE,"Leistungen Erw.";#N/A,#N/A,FALSE,"Leistungen Plan";#N/A,#N/A,FALSE,"KA Allg.Kosten (2)";#N/A,#N/A,FALSE,"KA All.Kosten"}</definedName>
    <definedName name="hh.k" hidden="1">{#N/A,#N/A,FALSE,"KA CH  (2)"}</definedName>
    <definedName name="hhj.ls" hidden="1">{#N/A,#N/A,FALSE,"Produkte Erw.";#N/A,#N/A,FALSE,"Produkte Plan";#N/A,#N/A,FALSE,"Leistungen Erw.";#N/A,#N/A,FALSE,"Leistungen Plan";#N/A,#N/A,FALSE,"KA Allg.Kosten (2)";#N/A,#N/A,FALSE,"KA All.Kosten"}</definedName>
    <definedName name="Hibh" hidden="1">{#N/A,#N/A,FALSE,"Pharm";#N/A,#N/A,FALSE,"WWCM"}</definedName>
    <definedName name="High" hidden="1">{#N/A,#N/A,FALSE,"Pharm";#N/A,#N/A,FALSE,"WWCM"}</definedName>
    <definedName name="h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j.k" hidden="1">{#N/A,#N/A,FALSE,"Produkte Erw.";#N/A,#N/A,FALSE,"Produkte Plan";#N/A,#N/A,FALSE,"Leistungen Erw.";#N/A,#N/A,FALSE,"Leistungen Plan";#N/A,#N/A,FALSE,"KA Allg.Kosten (2)";#N/A,#N/A,FALSE,"KA All.Kosten"}</definedName>
    <definedName name="hjghhgyg" hidden="1">{"Polymers Details",#N/A,FALSE,"Current Yr";"Polymer Details",#N/A,FALSE,"Budget";"Polymer Details",#N/A,FALSE,"Prior Year"}</definedName>
    <definedName name="hjghjhgj" hidden="1">{#N/A,#N/A,FALSE,"Produkte Erw.";#N/A,#N/A,FALSE,"Produkte Plan";#N/A,#N/A,FALSE,"Leistungen Erw.";#N/A,#N/A,FALSE,"Leistungen Plan";#N/A,#N/A,FALSE,"KA Allg.Kosten (2)";#N/A,#N/A,FALSE,"KA All.Kosten"}</definedName>
    <definedName name="hjh" hidden="1">{#N/A,#N/A,FALSE,"Produkte Erw.";#N/A,#N/A,FALSE,"Produkte Plan";#N/A,#N/A,FALSE,"Leistungen Erw.";#N/A,#N/A,FALSE,"Leistungen Plan";#N/A,#N/A,FALSE,"KA Allg.Kosten (2)";#N/A,#N/A,FALSE,"KA All.Kosten"}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" hidden="1">{#N/A,#N/A,FALSE,"Umsatz 99";#N/A,#N/A,FALSE,"ER 99 "}</definedName>
    <definedName name="hjk.l" hidden="1">{#N/A,#N/A,FALSE,"Produkte Erw.";#N/A,#N/A,FALSE,"Produkte Plan";#N/A,#N/A,FALSE,"Leistungen Erw.";#N/A,#N/A,FALSE,"Leistungen Plan";#N/A,#N/A,FALSE,"KA Allg.Kosten (2)";#N/A,#N/A,FALSE,"KA All.Kosten"}</definedName>
    <definedName name="hjkhjk" hidden="1">{#N/A,#N/A,FALSE,"KA CH  (2)"}</definedName>
    <definedName name="hjkjh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hjkk" hidden="1">{#N/A,#N/A,FALSE,"Pharm";#N/A,#N/A,FALSE,"WWCM"}</definedName>
    <definedName name="hjkl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hkjk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KSH" hidden="1">{#N/A,#N/A,FALSE,"REPORT"}</definedName>
    <definedName name="HMG" hidden="1">{#N/A,#N/A,FALSE,"REPORT"}</definedName>
    <definedName name="HTML_CodePage" hidden="1">1252</definedName>
    <definedName name="HTML_Control" hidden="1">{"'TRXAllergyVolume'!$A$1:$I$47"}</definedName>
    <definedName name="HTML_Description" hidden="1">""</definedName>
    <definedName name="HTML_Email" hidden="1">""</definedName>
    <definedName name="HTML_Header" hidden="1">""</definedName>
    <definedName name="HTML_LastUpdate" hidden="1">"10/25/1999"</definedName>
    <definedName name="HTML_LineAfter" hidden="1">FALSE</definedName>
    <definedName name="HTML_LineBefore" hidden="1">FALSE</definedName>
    <definedName name="HTML_Name" hidden="1">"Kim Swenson"</definedName>
    <definedName name="HTML_OBDlg2" hidden="1">TRUE</definedName>
    <definedName name="HTML_OBDlg4" hidden="1">TRUE</definedName>
    <definedName name="HTML_OS" hidden="1">0</definedName>
    <definedName name="HTML_PathFile" hidden="1">"S:\MKTRESCH\INTRANET\CONTENT\REPORTS\wkvoltrx.htm"</definedName>
    <definedName name="HTML_Title" hidden="1">""</definedName>
    <definedName name="HTML1_1" hidden="1">"'[WEEKSUMZ.xls]Claritin NRX  (2)'!$A$1:$H$245"</definedName>
    <definedName name="HTML1_10" hidden="1">""</definedName>
    <definedName name="HTML1_11" hidden="1">1</definedName>
    <definedName name="HTML1_12" hidden="1">"S:\MKTRESCH\SCHERING\INTRANET\mktresch\weekmkts\weeknrxs.htm"</definedName>
    <definedName name="HTML1_2" hidden="1">1</definedName>
    <definedName name="HTML1_3" hidden="1">"Weekly NRx Report"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"6/3/98"</definedName>
    <definedName name="HTML1_9" hidden="1">"James Grote"</definedName>
    <definedName name="HTML10_1" hidden="1">"[intrweek.xls]AllergyVolume!$A$1:$I$58"</definedName>
    <definedName name="HTML10_10" hidden="1">""</definedName>
    <definedName name="HTML10_11" hidden="1">1</definedName>
    <definedName name="HTML10_12" hidden="1">"S:\MKTRESCH\SCHERING\INTRANET\mktresch\weekmkts\wkvolume.htm"</definedName>
    <definedName name="HTML10_2" hidden="1">1</definedName>
    <definedName name="HTML10_3" hidden="1">"Weekly Antihistamine Volume Report"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"7/13/98"</definedName>
    <definedName name="HTML10_9" hidden="1">"James Grote"</definedName>
    <definedName name="HTML11_1" hidden="1">"'[intrweek.xls]NRx Page'!$A$1:$H$225"</definedName>
    <definedName name="HTML11_10" hidden="1">""</definedName>
    <definedName name="HTML11_11" hidden="1">1</definedName>
    <definedName name="HTML11_12" hidden="1">"S:\MKTRESCH\SCHERING\INTRANET\mktresch\weekmkts\weeknrxs.htm"</definedName>
    <definedName name="HTML11_2" hidden="1">1</definedName>
    <definedName name="HTML11_3" hidden="1">"Weekly New Prescription Report"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"6/5/98"</definedName>
    <definedName name="HTML11_9" hidden="1">"James Grote"</definedName>
    <definedName name="HTML12_1" hidden="1">"'[intrweek.xls]TRx Page'!$A$1:$H$240"</definedName>
    <definedName name="HTML12_10" hidden="1">""</definedName>
    <definedName name="HTML12_11" hidden="1">1</definedName>
    <definedName name="HTML12_12" hidden="1">"S:\MKTRESCH\SCHERING\INTRANET\mktresch\weekmkts\weektrxs.htm"</definedName>
    <definedName name="HTML12_2" hidden="1">1</definedName>
    <definedName name="HTML12_3" hidden="1">"Weekly Total Prescription Report"</definedName>
    <definedName name="HTML12_4" hidden="1">" "</definedName>
    <definedName name="HTML12_5" hidden="1">""</definedName>
    <definedName name="HTML12_6" hidden="1">-4146</definedName>
    <definedName name="HTML12_7" hidden="1">-4146</definedName>
    <definedName name="HTML12_8" hidden="1">"7/6/98"</definedName>
    <definedName name="HTML12_9" hidden="1">"James Grote"</definedName>
    <definedName name="HTML13_1" hidden="1">"'[intrweek.xls]NRx Page'!$A$1:$H$239"</definedName>
    <definedName name="HTML13_10" hidden="1">""</definedName>
    <definedName name="HTML13_11" hidden="1">1</definedName>
    <definedName name="HTML13_12" hidden="1">"S:\MKTRESCH\SCHERING\INTRANET\mktresch\weekmkts\weeknrxs.htm"</definedName>
    <definedName name="HTML13_2" hidden="1">1</definedName>
    <definedName name="HTML13_3" hidden="1">"Weekly New Prescription Report"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"7/6/98"</definedName>
    <definedName name="HTML13_9" hidden="1">"James Grote"</definedName>
    <definedName name="HTML14_1" hidden="1">"'[intrweek.xls]AllergyVolume (TRx)'!$A$1:$I$58"</definedName>
    <definedName name="HTML14_10" hidden="1">""</definedName>
    <definedName name="HTML14_11" hidden="1">1</definedName>
    <definedName name="HTML14_12" hidden="1">"S:\MKTRESCH\SCHERING\INTRANET\mktresch\weekmkts\wkvolum2.htm"</definedName>
    <definedName name="HTML14_2" hidden="1">1</definedName>
    <definedName name="HTML14_3" hidden="1">"Weekly TRx Volume"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"6/19/98"</definedName>
    <definedName name="HTML14_9" hidden="1">"James Grote"</definedName>
    <definedName name="HTML15_1" hidden="1">"'[intrweek.xls]AllergyVolume (TRx)'!$A$1:$I$57"</definedName>
    <definedName name="HTML15_10" hidden="1">""</definedName>
    <definedName name="HTML15_11" hidden="1">1</definedName>
    <definedName name="HTML15_12" hidden="1">"S:\MKTRESCH\SCHERING\INTRANET\mktresch\weekmkts\wkvolum2.htm"</definedName>
    <definedName name="HTML15_2" hidden="1">1</definedName>
    <definedName name="HTML15_3" hidden="1">"Weekly TRx Volume"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"7/13/98"</definedName>
    <definedName name="HTML15_9" hidden="1">"James Grote"</definedName>
    <definedName name="HTML16_1" hidden="1">"[intrweek.xls]AllergyVolume!$A$1:$I$54"</definedName>
    <definedName name="HTML16_10" hidden="1">""</definedName>
    <definedName name="HTML16_11" hidden="1">1</definedName>
    <definedName name="HTML16_12" hidden="1">"S:\MKTRESCH\SCHERING\INTRANET\mktresch\weekmkts\wkvolume.htm"</definedName>
    <definedName name="HTML16_2" hidden="1">1</definedName>
    <definedName name="HTML16_3" hidden="1">"Weekly Antihistamine NRx Volume"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"7/6/98"</definedName>
    <definedName name="HTML16_9" hidden="1">"James Grote"</definedName>
    <definedName name="HTML17_1" hidden="1">"'[intrweek.xls]NRx Page'!$A$1:$H$240"</definedName>
    <definedName name="HTML17_10" hidden="1">""</definedName>
    <definedName name="HTML17_11" hidden="1">1</definedName>
    <definedName name="HTML17_12" hidden="1">"S:\MKTRESCH\SCHERING\INTRANET\mktresch\weekmkts\weeknrxs.htm"</definedName>
    <definedName name="HTML17_2" hidden="1">1</definedName>
    <definedName name="HTML17_3" hidden="1">"Weekly NRx Page"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"7/13/98"</definedName>
    <definedName name="HTML17_9" hidden="1">"James Grote"</definedName>
    <definedName name="HTML18_1" hidden="1">"'[intrweek.xls]TRx Page'!$A$1:$H$241"</definedName>
    <definedName name="HTML18_10" hidden="1">""</definedName>
    <definedName name="HTML18_11" hidden="1">1</definedName>
    <definedName name="HTML18_12" hidden="1">"S:\MKTRESCH\SCHERING\INTRANET\mktresch\weekmkts\weektrxs.htm"</definedName>
    <definedName name="HTML18_2" hidden="1">1</definedName>
    <definedName name="HTML18_3" hidden="1">"Weekly TRx Page"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"7/13/98"</definedName>
    <definedName name="HTML18_9" hidden="1">"James Grote"</definedName>
    <definedName name="HTML19_1" hidden="1">"'[weekintr.xls]TRx Page'!$A$1:$I$243"</definedName>
    <definedName name="HTML19_10" hidden="1">""</definedName>
    <definedName name="HTML19_11" hidden="1">1</definedName>
    <definedName name="HTML19_12" hidden="1">"S:\MKTRESCH\SCHERING\INTRANET\mktresch\weekmkts\weektrxs.htm"</definedName>
    <definedName name="HTML19_2" hidden="1">1</definedName>
    <definedName name="HTML19_3" hidden="1">"Weekly Total Prescription Summary"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"7/17/98"</definedName>
    <definedName name="HTML19_9" hidden="1">"James Grote"</definedName>
    <definedName name="HTML2_1" hidden="1">"'[WEEKSUMZ.xls]Claritin NRX  (2)'!$A$1:$H$244"</definedName>
    <definedName name="HTML2_10" hidden="1">""</definedName>
    <definedName name="HTML2_11" hidden="1">1</definedName>
    <definedName name="HTML2_12" hidden="1">"S:\MKTRESCH\SCHERING\INTRANET\mktresch\weekmkts\weeknrxs.htm"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"6/3/98"</definedName>
    <definedName name="HTML2_9" hidden="1">"James Grote"</definedName>
    <definedName name="HTML20_1" hidden="1">"'[intrweek.xls]NRx Page'!$A$1:$H$257"</definedName>
    <definedName name="HTML20_10" hidden="1">""</definedName>
    <definedName name="HTML20_11" hidden="1">1</definedName>
    <definedName name="HTML20_12" hidden="1">"S:\MKTRESCH\INTRANET\weekrx\weeknrxs.htm"</definedName>
    <definedName name="HTML20_2" hidden="1">1</definedName>
    <definedName name="HTML20_3" hidden="1">"Weekly New Prescription Page"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"8/3/98"</definedName>
    <definedName name="HTML20_9" hidden="1">"James Grote"</definedName>
    <definedName name="HTML21_1" hidden="1">"'[intrweek.xls]TRx Page'!$A$1:$H$257"</definedName>
    <definedName name="HTML21_10" hidden="1">""</definedName>
    <definedName name="HTML21_11" hidden="1">1</definedName>
    <definedName name="HTML21_12" hidden="1">"S:\MKTRESCH\INTRANET\weekrx\weektrxs.htm"</definedName>
    <definedName name="HTML21_2" hidden="1">1</definedName>
    <definedName name="HTML21_3" hidden="1">"Weekly Total Prescription Page"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"8/3/98"</definedName>
    <definedName name="HTML21_9" hidden="1">"James Grote"</definedName>
    <definedName name="HTML22_1" hidden="1">"[intrweek.xls]NRXAllergyVolume!$A$1:$I$54"</definedName>
    <definedName name="HTML22_10" hidden="1">""</definedName>
    <definedName name="HTML22_11" hidden="1">1</definedName>
    <definedName name="HTML22_12" hidden="1">"S:\MKTRESCH\INTRANET\weekrx\wkvolume.htm"</definedName>
    <definedName name="HTML22_2" hidden="1">1</definedName>
    <definedName name="HTML22_3" hidden="1">"Weekly Antihistamine NRx Volume"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"8/3/98"</definedName>
    <definedName name="HTML22_9" hidden="1">"James Grote"</definedName>
    <definedName name="HTML23_1" hidden="1">"'[intrweek.xls]TRXAllergyVolume (2)'!$A$1:$I$54"</definedName>
    <definedName name="HTML23_10" hidden="1">""</definedName>
    <definedName name="HTML23_11" hidden="1">1</definedName>
    <definedName name="HTML23_12" hidden="1">"S:\MKTRESCH\INTRANET\weekrx\wkvolum2.htm"</definedName>
    <definedName name="HTML23_2" hidden="1">1</definedName>
    <definedName name="HTML23_3" hidden="1">"Weekly Antihistamine TRx Volume"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"8/3/98"</definedName>
    <definedName name="HTML23_9" hidden="1">"James Grote"</definedName>
    <definedName name="HTML24_1" hidden="1">"'[intrweek.xls]NRx Page'!$A$1:$H$222"</definedName>
    <definedName name="HTML24_10" hidden="1">""</definedName>
    <definedName name="HTML24_11" hidden="1">1</definedName>
    <definedName name="HTML24_12" hidden="1">"S:\MKTRESCH\INTRANET\htmsum\weeknrxs.htm"</definedName>
    <definedName name="HTML24_2" hidden="1">1</definedName>
    <definedName name="HTML24_3" hidden="1">"Weekly NRx Report"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"8/10/98"</definedName>
    <definedName name="HTML24_9" hidden="1">"James Grote"</definedName>
    <definedName name="HTML25_1" hidden="1">"'[intrweek.xls]TRx Page'!$A$1:$H$222"</definedName>
    <definedName name="HTML25_10" hidden="1">""</definedName>
    <definedName name="HTML25_11" hidden="1">1</definedName>
    <definedName name="HTML25_12" hidden="1">"S:\MKTRESCH\INTRANET\htmsum\weektrxs.htm"</definedName>
    <definedName name="HTML25_2" hidden="1">1</definedName>
    <definedName name="HTML25_3" hidden="1">"Weekly TRx Report"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"8/10/98"</definedName>
    <definedName name="HTML25_9" hidden="1">"James Grote"</definedName>
    <definedName name="HTML26_1" hidden="1">"[intrweek.xls]NRXAllergyVolume!$A$1:$I$47"</definedName>
    <definedName name="HTML26_10" hidden="1">""</definedName>
    <definedName name="HTML26_11" hidden="1">1</definedName>
    <definedName name="HTML26_12" hidden="1">"S:\MKTRESCH\INTRANET\htmsum\wkvolnrx.htm"</definedName>
    <definedName name="HTML26_2" hidden="1">1</definedName>
    <definedName name="HTML26_3" hidden="1">"Weekly New Antihistamine Volume"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"9/7/98"</definedName>
    <definedName name="HTML26_9" hidden="1">"James Grote"</definedName>
    <definedName name="HTML27_1" hidden="1">"[intrweek.xls]TRXAllergyVolume!$A$1:$I$47"</definedName>
    <definedName name="HTML27_10" hidden="1">""</definedName>
    <definedName name="HTML27_11" hidden="1">1</definedName>
    <definedName name="HTML27_12" hidden="1">"S:\MKTRESCH\INTRANET\htmsum\wkvoltrx.htm"</definedName>
    <definedName name="HTML27_2" hidden="1">1</definedName>
    <definedName name="HTML27_3" hidden="1">"Weekly Total Antihistamine Volume"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"9/7/98"</definedName>
    <definedName name="HTML27_9" hidden="1">"James Grote"</definedName>
    <definedName name="HTML28_1" hidden="1">"'[intrweek.xls]TRx Page'!$A$1:$H$221"</definedName>
    <definedName name="HTML28_10" hidden="1">""</definedName>
    <definedName name="HTML28_11" hidden="1">1</definedName>
    <definedName name="HTML28_12" hidden="1">"S:\MKTRESCH\INTRANET\htmsum\weektrxs.htm"</definedName>
    <definedName name="HTML28_2" hidden="1">1</definedName>
    <definedName name="HTML28_3" hidden="1">"Weekly TRx Report"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"8/10/98"</definedName>
    <definedName name="HTML28_9" hidden="1">"James Grote"</definedName>
    <definedName name="HTML29_1" hidden="1">"'[intrweek.xls]NRx Page'!$A$1:$H$220"</definedName>
    <definedName name="HTML29_10" hidden="1">""</definedName>
    <definedName name="HTML29_11" hidden="1">1</definedName>
    <definedName name="HTML29_12" hidden="1">"S:\MKTRESCH\INTRANET\htmsum\weeknrxs.htm"</definedName>
    <definedName name="HTML29_2" hidden="1">1</definedName>
    <definedName name="HTML29_3" hidden="1">"Weekly NRx Report"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"8/10/98"</definedName>
    <definedName name="HTML29_9" hidden="1">"James Grote"</definedName>
    <definedName name="HTML3_1" hidden="1">"'[WEEKSUMZ.xls]Claritin TRX (2)'!$A$1:$H$223"</definedName>
    <definedName name="HTML3_10" hidden="1">""</definedName>
    <definedName name="HTML3_11" hidden="1">1</definedName>
    <definedName name="HTML3_12" hidden="1">"S:\MKTRESCH\SCHERING\INTRANET\mktresch\weekmkts\weektrxs.htm"</definedName>
    <definedName name="HTML3_2" hidden="1">1</definedName>
    <definedName name="HTML3_3" hidden="1">"Weekly TRx Report"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"6/4/98"</definedName>
    <definedName name="HTML3_9" hidden="1">"James Grote"</definedName>
    <definedName name="HTML30_1" hidden="1">"'[intrweek.xls]TRx Page'!$A$1:$H$220"</definedName>
    <definedName name="HTML30_10" hidden="1">""</definedName>
    <definedName name="HTML30_11" hidden="1">1</definedName>
    <definedName name="HTML30_12" hidden="1">"S:\MKTRESCH\INTRANET\htmsum\weektrxs.htm"</definedName>
    <definedName name="HTML30_2" hidden="1">1</definedName>
    <definedName name="HTML30_3" hidden="1">"Weekly TRx Report"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"8/10/98"</definedName>
    <definedName name="HTML30_9" hidden="1">"James Grote"</definedName>
    <definedName name="HTML31_1" hidden="1">"'[intrweek.xls]NRx Page'!$A$1:$H$209"</definedName>
    <definedName name="HTML31_10" hidden="1">""</definedName>
    <definedName name="HTML31_11" hidden="1">1</definedName>
    <definedName name="HTML31_12" hidden="1">"S:\MKTRESCH\INTRANET\htmsum\weeknrxs.htm"</definedName>
    <definedName name="HTML31_2" hidden="1">1</definedName>
    <definedName name="HTML31_3" hidden="1">"Weekly NRx Page"</definedName>
    <definedName name="HTML31_4" hidden="1">""</definedName>
    <definedName name="HTML31_5" hidden="1">""</definedName>
    <definedName name="HTML31_6" hidden="1">-4146</definedName>
    <definedName name="HTML31_7" hidden="1">-4146</definedName>
    <definedName name="HTML31_8" hidden="1">"9/7/98"</definedName>
    <definedName name="HTML31_9" hidden="1">"James Grote"</definedName>
    <definedName name="HTML32_1" hidden="1">"'[intrweek.xls]TRx Page'!$A$1:$H$209"</definedName>
    <definedName name="HTML32_10" hidden="1">""</definedName>
    <definedName name="HTML32_11" hidden="1">1</definedName>
    <definedName name="HTML32_12" hidden="1">"S:\MKTRESCH\INTRANET\htmsum\weektrxs.htm"</definedName>
    <definedName name="HTML32_2" hidden="1">1</definedName>
    <definedName name="HTML32_3" hidden="1">"Weekly TRx Page"</definedName>
    <definedName name="HTML32_4" hidden="1">""</definedName>
    <definedName name="HTML32_5" hidden="1">""</definedName>
    <definedName name="HTML32_6" hidden="1">-4146</definedName>
    <definedName name="HTML32_7" hidden="1">-4146</definedName>
    <definedName name="HTML32_8" hidden="1">"9/7/98"</definedName>
    <definedName name="HTML32_9" hidden="1">"James Grote"</definedName>
    <definedName name="HTML4_1" hidden="1">"'[intrweek.xls]NRx Page'!$A$1:$H$224"</definedName>
    <definedName name="HTML4_10" hidden="1">""</definedName>
    <definedName name="HTML4_11" hidden="1">1</definedName>
    <definedName name="HTML4_12" hidden="1">"S:\MKTRESCH\SCHERING\INTRANET\mktresch\weekmkts\weeknrxs.htm"</definedName>
    <definedName name="HTML4_2" hidden="1">1</definedName>
    <definedName name="HTML4_3" hidden="1">"Weekly New Prescription Report"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"6/8/98"</definedName>
    <definedName name="HTML4_9" hidden="1">"James Grote"</definedName>
    <definedName name="HTML5_1" hidden="1">"'[intrweek.xls]TRx Page'!$A$1:$H$223"</definedName>
    <definedName name="HTML5_10" hidden="1">""</definedName>
    <definedName name="HTML5_11" hidden="1">1</definedName>
    <definedName name="HTML5_12" hidden="1">"S:\MKTRESCH\SCHERING\INTRANET\mktresch\weekmkts\weektrxs.htm"</definedName>
    <definedName name="HTML5_2" hidden="1">1</definedName>
    <definedName name="HTML5_3" hidden="1">"Weekly Total Prescription Report"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"6/8/98"</definedName>
    <definedName name="HTML5_9" hidden="1">"James Grote"</definedName>
    <definedName name="HTML6_1" hidden="1">"[intrweek.xls]AllergyVolume!$B$1:$K$62"</definedName>
    <definedName name="HTML6_10" hidden="1">""</definedName>
    <definedName name="HTML6_11" hidden="1">1</definedName>
    <definedName name="HTML6_12" hidden="1">"S:\MKTRESCH\SCHERING\INTRANET\mktresch\weekmkts\wkvolume.htm"</definedName>
    <definedName name="HTML6_2" hidden="1">1</definedName>
    <definedName name="HTML6_3" hidden="1">"Weekly Allergy Volume Page"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"[intrweek.xls]AllergyVolume!$A$1:$J$60"</definedName>
    <definedName name="HTML7_10" hidden="1">""</definedName>
    <definedName name="HTML7_11" hidden="1">1</definedName>
    <definedName name="HTML7_12" hidden="1">"S:\MKTRESCH\SCHERING\INTRANET\mktresch\weekmkts\wkvolume.htm"</definedName>
    <definedName name="HTML7_2" hidden="1">1</definedName>
    <definedName name="HTML7_3" hidden="1">"Weekly Allergy Volume Report"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 "</definedName>
    <definedName name="HTML8_1" hidden="1">"[intrweek.xls]AllergyVolume!$A$1:$I$60"</definedName>
    <definedName name="HTML8_10" hidden="1">""</definedName>
    <definedName name="HTML8_11" hidden="1">1</definedName>
    <definedName name="HTML8_12" hidden="1">"S:\MKTRESCH\SCHERING\INTRANET\mktresch\weekmkts\wkvolume.htm"</definedName>
    <definedName name="HTML8_2" hidden="1">1</definedName>
    <definedName name="HTML8_3" hidden="1">"Weekly Antihistamine Volume Data"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"6/5/98"</definedName>
    <definedName name="HTML8_9" hidden="1">"James Grote"</definedName>
    <definedName name="HTML9_1" hidden="1">"[intrweek.xls]AllergyVolume!$A$1:$I$59"</definedName>
    <definedName name="HTML9_10" hidden="1">""</definedName>
    <definedName name="HTML9_11" hidden="1">1</definedName>
    <definedName name="HTML9_12" hidden="1">"S:\MKTRESCH\SCHERING\INTRANET\mktresch\weekmkts\wkvolume.htm"</definedName>
    <definedName name="HTML9_2" hidden="1">1</definedName>
    <definedName name="HTML9_3" hidden="1">"Weekly Antihistamine Volme Report"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"6/8/98"</definedName>
    <definedName name="HTML9_9" hidden="1">"James Grote"</definedName>
    <definedName name="HTMLCount" hidden="1">32</definedName>
    <definedName name="htyuityuiotio" hidden="1">{#N/A,#N/A,FALSE,"REPORT"}</definedName>
    <definedName name="hu" hidden="1">{"detail",#N/A,FALSE,"mfg";"summary",#N/A,FALSE,"mfg"}</definedName>
    <definedName name="hw" hidden="1">{"sales growth",#N/A,FALSE,"summary";"oper income",#N/A,FALSE,"summary";"oros rank",#N/A,FALSE,"summary";"net assets",#N/A,FALSE,"summary";"asset turnover",#N/A,FALSE,"summary";"orona",#N/A,FALSE,"summary"}</definedName>
    <definedName name="hy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Hypertention" hidden="1">{#N/A,#N/A,FALSE,"Pharm";#N/A,#N/A,FALSE,"WWCM"}</definedName>
    <definedName name="hypo" hidden="1">{#N/A,#N/A,FALSE,"Pharm";#N/A,#N/A,FALSE,"WWCM"}</definedName>
    <definedName name="ibnjks" hidden="1">{"detail",#N/A,FALSE,"mfg";"summary",#N/A,FALSE,"mfg"}</definedName>
    <definedName name="ii.oo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iii" hidden="1">{"detail",#N/A,FALSE,"mfg";"summary",#N/A,FALSE,"mfg"}</definedName>
    <definedName name="IIII" hidden="1">{#N/A,#N/A,FALSE,"Umsatz 99";#N/A,#N/A,FALSE,"ER 99 "}</definedName>
    <definedName name="ijoi" hidden="1">{#N/A,#N/A,FALSE,"Produkte Erw.";#N/A,#N/A,FALSE,"Produkte Plan";#N/A,#N/A,FALSE,"Leistungen Erw.";#N/A,#N/A,FALSE,"Leistungen Plan";#N/A,#N/A,FALSE,"KA Allg.Kosten (2)";#N/A,#N/A,FALSE,"KA All.Kosten"}</definedName>
    <definedName name="ik" hidden="1">{"detail",#N/A,FALSE,"mfg";"summary",#N/A,FALSE,"mfg"}</definedName>
    <definedName name="ingjks" hidden="1">{"detail",#N/A,FALSE,"mfg";"summary",#N/A,FALSE,"mfg"}</definedName>
    <definedName name="iniske" hidden="1">{"detail",#N/A,FALSE,"mfg";"summary",#N/A,FALSE,"mfg"}</definedName>
    <definedName name="inksl" hidden="1">{"detail",#N/A,FALSE,"mfg";"summary",#N/A,FALSE,"mfg"}</definedName>
    <definedName name="io" hidden="1">{"Performance Details",#N/A,FALSE,"Current Yr";"Performance Details",#N/A,FALSE,"Budget";"Performance Details",#N/A,FALSE,"Prior Year"}</definedName>
    <definedName name="ioi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iop" hidden="1">{#N/A,"PURCHM",FALSE,"Business Analysis";#N/A,"SPADD",FALSE,"Business Analysis"}</definedName>
    <definedName name="IP" hidden="1">{#N/A,#N/A,FALSE,"Pharm";#N/A,#N/A,FALSE,"WWCM"}</definedName>
    <definedName name="IQ_ADDIN" hidden="1">"AUTO"</definedName>
    <definedName name="IQ_AVG_PRICE_TARGET" hidden="1">"c82"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DPAC" hidden="1">"c2801"</definedName>
    <definedName name="IQ_EST_ACT_BV_REUT" hidden="1">"c5409"</definedName>
    <definedName name="IQ_EST_ACT_BV_THOM" hidden="1">"c5153"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EPS_SURPRISE" hidden="1">"c1635"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42786.6668981481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RIMARY_EPS_TYPE_THOM" hidden="1">"c5297"</definedName>
    <definedName name="IQ_QTD" hidden="1">750000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TODAY" hidden="1">0</definedName>
    <definedName name="IQ_TOTAL_PENSION_OBLIGATION" hidden="1">"c1292"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WEEK" hidden="1">50000</definedName>
    <definedName name="IQ_YTD" hidden="1">3000</definedName>
    <definedName name="IQ_YTDMONTH" hidden="1">130000</definedName>
    <definedName name="IQB_BOOKMARK_COUNT" hidden="1">0</definedName>
    <definedName name="IQRA10" hidden="1">"$A$11:$A$262"</definedName>
    <definedName name="IQRA38" hidden="1">"$A$39:$A$48"</definedName>
    <definedName name="IQRA5" hidden="1">"$A$6:$A$20"</definedName>
    <definedName name="IQRA6" hidden="1">"$A$7:$A$21"</definedName>
    <definedName name="IQRA60" hidden="1">"$A$61:$A$75"</definedName>
    <definedName name="IQRA7" hidden="1">"$A$8:$A$21"</definedName>
    <definedName name="IQRA8" hidden="1">"$A$9:$A$19"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B38" hidden="1">"$B$39:$B$48"</definedName>
    <definedName name="IQRB5" hidden="1">"$B$6:$B$20"</definedName>
    <definedName name="IQRB6" hidden="1">"$B$7:$B$21"</definedName>
    <definedName name="IQRB8" hidden="1">"$B$9:$B$19"</definedName>
    <definedName name="IQRC15" hidden="1">"$C$16:$C$20"</definedName>
    <definedName name="IQRC24" hidden="1">"$C$25:$C$29"</definedName>
    <definedName name="IQRC5" hidden="1">"$C$6:$C$20"</definedName>
    <definedName name="IQRC6" hidden="1">"$C$7:$C$21"</definedName>
    <definedName name="IQRC8" hidden="1">"$C$9:$C$19"</definedName>
    <definedName name="IQRD15" hidden="1">"$D$16:$D$17"</definedName>
    <definedName name="IQRD8" hidden="1">"$D$9:$D$19"</definedName>
    <definedName name="IQRE8" hidden="1">"$E$9:$E$19"</definedName>
    <definedName name="Irbe" hidden="1">{#N/A,#N/A,FALSE,"Pharm";#N/A,#N/A,FALSE,"WWCM"}</definedName>
    <definedName name="Issue" hidden="1">"BL7FKFTY6NDALOTZZF8PFRAS6"</definedName>
    <definedName name="iungds" hidden="1">{"detail",#N/A,FALSE,"mfg";"summary",#N/A,FALSE,"mfg"}</definedName>
    <definedName name="iuyt" hidden="1">{"AS REP",#N/A,FALSE,"EEFSNAP2";"PROP",#N/A,FALSE,"EEFSNAP2";"RISKS",#N/A,FALSE,"EEFSNAP2";"VIEW ALL",#N/A,FALSE,"EEFSNAP2"}</definedName>
    <definedName name="iy" hidden="1">{"AS REP",#N/A,FALSE,"EEFSNAP2";"PROP",#N/A,FALSE,"EEFSNAP2";"RISKS",#N/A,FALSE,"EEFSNAP2";"VIEW ALL",#N/A,FALSE,"EEFSNAP2"}</definedName>
    <definedName name="j" hidden="1">{#N/A,#N/A,FALSE,"REPORT"}</definedName>
    <definedName name="jfdsir" hidden="1">{"YTD",#N/A,FALSE,"SUM"}</definedName>
    <definedName name="jg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jghjg" hidden="1">{#N/A,#N/A,FALSE,"Produkte Erw.";#N/A,#N/A,FALSE,"Produkte Plan";#N/A,#N/A,FALSE,"Leistungen Erw.";#N/A,#N/A,FALSE,"Leistungen Plan";#N/A,#N/A,FALSE,"KA Allg.Kosten (2)";#N/A,#N/A,FALSE,"KA All.Kosten"}</definedName>
    <definedName name="jghjhlld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jhgf" hidden="1">{"Commentary",#N/A,FALSE,"May"}</definedName>
    <definedName name="jhhgjh" hidden="1">{#N/A,#N/A,FALSE,"KA CH  (2)"}</definedName>
    <definedName name="j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g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j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jih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jj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j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jjhg.lll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jjj" hidden="1">{#N/A,#N/A,FALSE,"REPORT"}</definedName>
    <definedName name="jkiu" hidden="1">{#N/A,"PURCHM",FALSE,"Business Analysis";#N/A,"SPADD",FALSE,"Business Analysis"}</definedName>
    <definedName name="jkjhk" hidden="1">{#N/A,#N/A,FALSE,"Produkte Erw.";#N/A,#N/A,FALSE,"Produkte Plan";#N/A,#N/A,FALSE,"Leistungen Erw.";#N/A,#N/A,FALSE,"Leistungen Plan";#N/A,#N/A,FALSE,"KA Allg.Kosten (2)";#N/A,#N/A,FALSE,"KA All.Kosten"}</definedName>
    <definedName name="jkj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kjhk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l" hidden="1">{#N/A,#N/A,FALSE,"REPORT"}</definedName>
    <definedName name="jklk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jklñ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jkwsd" hidden="1">{"detail",#N/A,FALSE,"mfg";"summary",#N/A,FALSE,"mfg"}</definedName>
    <definedName name="jnbid" hidden="1">{"detail",#N/A,FALSE,"mfg";"summary",#N/A,FALSE,"mfg"}</definedName>
    <definedName name="jomn" hidden="1">{"pro_view",#N/A,FALSE,"EEFSNAP2";"rep_view",#N/A,FALSE,"EEFSNAP2"}</definedName>
    <definedName name="jöuiuiuzi" hidden="1">{#N/A,#N/A,FALSE,"Umsatz 99";#N/A,#N/A,FALSE,"ER 99 "}</definedName>
    <definedName name="ju" hidden="1">{"detail",#N/A,FALSE,"mfg";"summary",#N/A,FALSE,"mfg"}</definedName>
    <definedName name="judy" hidden="1">{#N/A,#N/A,FALSE,"Pharm";#N/A,#N/A,FALSE,"WWCM"}</definedName>
    <definedName name="judy1" hidden="1">{#N/A,#N/A,FALSE,"Pharm";#N/A,#N/A,FALSE,"WWCM"}</definedName>
    <definedName name="jui" hidden="1">{"YD OTHER",#N/A,FALSE,"YTD"}</definedName>
    <definedName name="juio" hidden="1">{"Page 1",#N/A,FALSE,"OpExJanVsPY";"Page 2",#N/A,FALSE,"OpExJanVsPY"}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0</definedName>
    <definedName name="kh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ki" hidden="1">{"QTR494",#N/A,FALSE,"4Q94";"QTR394",#N/A,FALSE,"3Q94";"QTR294",#N/A,FALSE,"2Q94"}</definedName>
    <definedName name="kinjs" hidden="1">{"detail",#N/A,FALSE,"mfg";"summary",#N/A,FALSE,"mfg"}</definedName>
    <definedName name="kip" hidden="1">{"detail",#N/A,FALSE,"mfg";"summary",#N/A,FALSE,"mfg"}</definedName>
    <definedName name="kjg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kjhg" hidden="1">{"ICD Details",#N/A,FALSE,"Current Yr";"ICD Details",#N/A,FALSE,"Budget";"ICD Details",#N/A,FALSE,"Prior Year"}</definedName>
    <definedName name="kjip" hidden="1">{"detail",#N/A,FALSE,"mfg";"summary",#N/A,FALSE,"mfg"}</definedName>
    <definedName name="kjk.l" hidden="1">{#N/A,#N/A,FALSE,"Produkte Erw.";#N/A,#N/A,FALSE,"Produkte Plan";#N/A,#N/A,FALSE,"Leistungen Erw.";#N/A,#N/A,FALSE,"Leistungen Plan";#N/A,#N/A,FALSE,"KA Allg.Kosten (2)";#N/A,#N/A,FALSE,"KA All.Kosten"}</definedName>
    <definedName name="kjljkölhklh" hidden="1">{#N/A,#N/A,FALSE,"Produkte Erw.";#N/A,#N/A,FALSE,"Produkte Plan";#N/A,#N/A,FALSE,"Leistungen Erw.";#N/A,#N/A,FALSE,"Leistungen Plan";#N/A,#N/A,FALSE,"KA Allg.Kosten (2)";#N/A,#N/A,FALSE,"KA All.Kosten"}</definedName>
    <definedName name="KK" hidden="1">{#N/A,"PURCHM",FALSE,"Business Analysis";#N/A,"SPADD",FALSE,"Business Analysis"}</definedName>
    <definedName name="kk.l" hidden="1">{#N/A,#N/A,FALSE,"Produkte Erw.";#N/A,#N/A,FALSE,"Produkte Plan";#N/A,#N/A,FALSE,"Leistungen Erw.";#N/A,#N/A,FALSE,"Leistungen Plan";#N/A,#N/A,FALSE,"KA Allg.Kosten (2)";#N/A,#N/A,FALSE,"KA All.Kosten"}</definedName>
    <definedName name="kkk" hidden="1">{#N/A,#N/A,FALSE,"Pharm";#N/A,#N/A,FALSE,"WWCM"}</definedName>
    <definedName name="kkk.l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kkk.llll" hidden="1">{#N/A,#N/A,FALSE,"Umsatz 99";#N/A,#N/A,FALSE,"ER 99 "}</definedName>
    <definedName name="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jklkj" hidden="1">{#N/A,#N/A,FALSE,"KA CH  (2)"}</definedName>
    <definedName name="kl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k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klklkl" hidden="1">{#N/A,#N/A,FALSE,"Umsatz 99";#N/A,#N/A,FALSE,"ER 99 "}</definedName>
    <definedName name="klñ" hidden="1">{"AS REP",#N/A,FALSE,"EEFSNAP2";"PROP",#N/A,FALSE,"EEFSNAP2";"RISKS",#N/A,FALSE,"EEFSNAP2";"VIEW ALL",#N/A,FALSE,"EEFSNAP2"}</definedName>
    <definedName name="km" hidden="1">{"pro_view",#N/A,FALSE,"EEFSNAP2";"rep_view",#N/A,FALSE,"EEFSNAP2"}</definedName>
    <definedName name="köäklöl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kou" hidden="1">{"detail",#N/A,FALSE,"mfg";"summary",#N/A,FALSE,"mfg"}</definedName>
    <definedName name="kslkjkjlkjd" hidden="1">{#N/A,#N/A,FALSE,"REPORT"}</definedName>
    <definedName name="L" hidden="1">{"PAGE 1",#N/A,FALSE,"COS Excluding Geismar";"PAGE 2",#N/A,FALSE,"COS Excluding Geismar";"PAGE 3",#N/A,FALSE,"COS Excluding Geismar"}</definedName>
    <definedName name="ldkeir" hidden="1">{#N/A,"PURCHM",FALSE,"Business Analysis";#N/A,"SPADD",FALSE,"Business Analysis"}</definedName>
    <definedName name="lee" hidden="1">{#N/A,#N/A,FALSE,"Pharm";#N/A,#N/A,FALSE,"WWCM"}</definedName>
    <definedName name="lhjlkjlhklhlj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ljk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ljkl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lkj" hidden="1">{"detail",#N/A,FALSE,"mfg";"summary",#N/A,FALSE,"mfg"}</definedName>
    <definedName name="lk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lkl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kmn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lko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l.l" hidden="1">{#N/A,#N/A,FALSE,"Produkte Erw.";#N/A,#N/A,FALSE,"Produkte Plan";#N/A,#N/A,FALSE,"Leistungen Erw.";#N/A,#N/A,FALSE,"Leistungen Plan";#N/A,#N/A,FALSE,"KA Allg.Kosten (2)";#N/A,#N/A,FALSE,"KA All.Kosten"}</definedName>
    <definedName name="llk" hidden="1">{"pro_view",#N/A,FALSE,"EEFSNAP2";"rep_view",#N/A,FALSE,"EEFSNAP2"}</definedName>
    <definedName name="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llllll" hidden="1">{"detail",#N/A,FALSE,"mfg";"summary",#N/A,FALSE,"mfg"}</definedName>
    <definedName name="llp" hidden="1">{"YD LPH2",#N/A,FALSE,"YTD"}</definedName>
    <definedName name="lñ" hidden="1">{"sales growth",#N/A,FALSE,"summary";"oper income",#N/A,FALSE,"summary";"oros rank",#N/A,FALSE,"summary";"net assets",#N/A,FALSE,"summary";"asset turnover",#N/A,FALSE,"summary";"orona",#N/A,FALSE,"summary"}</definedName>
    <definedName name="lop" hidden="1">{"detail",#N/A,FALSE,"mfg";"summary",#N/A,FALSE,"mfg"}</definedName>
    <definedName name="lpo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m" hidden="1">{#N/A,#N/A,FALSE,"CNS";#N/A,#N/A,FALSE,"Serz";#N/A,#N/A,FALSE,"Ace"}</definedName>
    <definedName name="maji" hidden="1">{"detail",#N/A,FALSE,"mfg";"summary",#N/A,FALSE,"mfg"}</definedName>
    <definedName name="mfoew" hidden="1">{#N/A,"PURCHM",FALSE,"Business Analysis";#N/A,"SPADD",FALSE,"Business Analysis"}</definedName>
    <definedName name="min" hidden="1">{#N/A,#N/A,FALSE,"REPORT"}</definedName>
    <definedName name="mina" hidden="1">{#N/A,#N/A,FALSE,"REPORT"}</definedName>
    <definedName name="miwukls" hidden="1">{"detail",#N/A,FALSE,"mfg";"summary",#N/A,FALSE,"mfg"}</definedName>
    <definedName name="m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mk" hidden="1">{"detail",#N/A,FALSE,"mfg";"summary",#N/A,FALSE,"mfg"}</definedName>
    <definedName name="mkl" hidden="1">{"pro_view",#N/A,FALSE,"EEFSNAP2";"rep_view",#N/A,FALSE,"EEFSNAP2"}</definedName>
    <definedName name="mlw" hidden="1">{#N/A,#N/A,FALSE,"Pharm";#N/A,#N/A,FALSE,"WWCM"}</definedName>
    <definedName name="mm" hidden="1">{"vol data",#N/A,FALSE,"Datasheet";"vol graph",#N/A,FALSE,"Volume";"price data",#N/A,FALSE,"Datasheet";"price graph",#N/A,FALSE,"Price";"dp data",#N/A,FALSE,"Datasheet";"dp graph",#N/A,FALSE,"DirectProfit"}</definedName>
    <definedName name="mmk" hidden="1">{"Pg1",#N/A,FALSE,"OpExYTDvsBud";"Pg2",#N/A,FALSE,"OpExYTDvsBud"}</definedName>
    <definedName name="mmm" hidden="1">{#N/A,"PURCHM",FALSE,"Business Analysis";#N/A,"SPADD",FALSE,"Business Analysis"}</definedName>
    <definedName name="mmp" hidden="1">{"detail",#N/A,FALSE,"mfg";"summary",#N/A,FALSE,"mfg"}</definedName>
    <definedName name="mn" hidden="1">{"detail",#N/A,FALSE,"mfg";"summary",#N/A,FALSE,"mfg"}</definedName>
    <definedName name="mnb" hidden="1">{"QTR494",#N/A,FALSE,"4Q94";"QTR394",#N/A,FALSE,"3Q94";"QTR294",#N/A,FALSE,"2Q94"}</definedName>
    <definedName name="mnbv" hidden="1">{"Month Summary",#N/A,FALSE,"Summary";"Total Details",#N/A,FALSE,"Current Yr";"Polymers Details",#N/A,FALSE,"Current Yr";"Performance Details",#N/A,FALSE,"Current Yr";"ICD Details",#N/A,FALSE,"Current Yr"}</definedName>
    <definedName name="mnmn" hidden="1">{"detail",#N/A,FALSE,"mfg";"summary",#N/A,FALSE,"mfg"}</definedName>
    <definedName name="mnnb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mokp" hidden="1">{"QTD_LPO2N2",#N/A,FALSE,"QTD"}</definedName>
    <definedName name="mw" hidden="1">{#N/A,#N/A,FALSE,"Pharm";#N/A,#N/A,FALSE,"WWCM"}</definedName>
    <definedName name="nam90ng" hidden="1">{"detail",#N/A,FALSE,"mfg";"summary",#N/A,FALSE,"mfg"}</definedName>
    <definedName name="nam9njk" hidden="1">{"detail",#N/A,FALSE,"mfg";"summary",#N/A,FALSE,"mfg"}</definedName>
    <definedName name="name" hidden="1">{"detail",#N/A,FALSE,"mfg";"summary",#N/A,FALSE,"mfg"}</definedName>
    <definedName name="name1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10" hidden="1">{"detail",#N/A,FALSE,"mfg";"summary",#N/A,FALSE,"mfg"}</definedName>
    <definedName name="name101" hidden="1">{"detail",#N/A,FALSE,"mfg";"summary",#N/A,FALSE,"mfg"}</definedName>
    <definedName name="name102" hidden="1">{"detail",#N/A,FALSE,"mfg";"summary",#N/A,FALSE,"mfg"}</definedName>
    <definedName name="name11" hidden="1">{"detail",#N/A,FALSE,"mfg";"summary",#N/A,FALSE,"mfg"}</definedName>
    <definedName name="name12" hidden="1">{"detail",#N/A,FALSE,"mfg";"summary",#N/A,FALSE,"mfg"}</definedName>
    <definedName name="name2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202" hidden="1">{"detail",#N/A,FALSE,"mfg";"summary",#N/A,FALSE,"mfg"}</definedName>
    <definedName name="name203" hidden="1">{"detail",#N/A,FALSE,"mfg";"summary",#N/A,FALSE,"mfg"}</definedName>
    <definedName name="name212" hidden="1">{"detail",#N/A,FALSE,"mfg";"summary",#N/A,FALSE,"mfg"}</definedName>
    <definedName name="name213" hidden="1">{"detail",#N/A,FALSE,"mfg";"summary",#N/A,FALSE,"mfg"}</definedName>
    <definedName name="name3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31" hidden="1">{"detail",#N/A,FALSE,"mfg";"summary",#N/A,FALSE,"mfg"}</definedName>
    <definedName name="name32" hidden="1">{"detail",#N/A,FALSE,"mfg";"summary",#N/A,FALSE,"mfg"}</definedName>
    <definedName name="name34" hidden="1">{"detail",#N/A,FALSE,"mfg";"summary",#N/A,FALSE,"mfg"}</definedName>
    <definedName name="name35" hidden="1">{"detail",#N/A,FALSE,"mfg";"summary",#N/A,FALSE,"mfg"}</definedName>
    <definedName name="NAME41" hidden="1">{"detail",#N/A,FALSE,"mfg";"summary",#N/A,FALSE,"mfg"}</definedName>
    <definedName name="name412" hidden="1">{"detail",#N/A,FALSE,"mfg";"summary",#N/A,FALSE,"mfg"}</definedName>
    <definedName name="name413" hidden="1">{"detail",#N/A,FALSE,"mfg";"summary",#N/A,FALSE,"mfg"}</definedName>
    <definedName name="name42" hidden="1">{"detail",#N/A,FALSE,"mfg";"summary",#N/A,FALSE,"mfg"}</definedName>
    <definedName name="name45" hidden="1">{"detail",#N/A,FALSE,"mfg";"summary",#N/A,FALSE,"mfg"}</definedName>
    <definedName name="name51" hidden="1">{"detail",#N/A,FALSE,"mfg";"summary",#N/A,FALSE,"mfg"}</definedName>
    <definedName name="name54ghs" hidden="1">{"detail",#N/A,FALSE,"mfg";"summary",#N/A,FALSE,"mfg"}</definedName>
    <definedName name="name56a" hidden="1">{"detail",#N/A,FALSE,"mfg";"summary",#N/A,FALSE,"mfg"}</definedName>
    <definedName name="name56a56" hidden="1">{"detail",#N/A,FALSE,"mfg";"summary",#N/A,FALSE,"mfg"}</definedName>
    <definedName name="name61" hidden="1">{"detail",#N/A,FALSE,"mfg";"summary",#N/A,FALSE,"mfg"}</definedName>
    <definedName name="name71" hidden="1">{"detail",#N/A,FALSE,"mfg";"summary",#N/A,FALSE,"mfg"}</definedName>
    <definedName name="name89shj" hidden="1">{"detail",#N/A,FALSE,"mfg";"summary",#N/A,FALSE,"mfg"}</definedName>
    <definedName name="namea101" hidden="1">{"detail",#N/A,FALSE,"mfg";"summary",#N/A,FALSE,"mfg"}</definedName>
    <definedName name="nameb45" hidden="1">{"detail",#N/A,FALSE,"mfg";"summary",#N/A,FALSE,"mfg"}</definedName>
    <definedName name="nameC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iges" hidden="1">{"detail",#N/A,FALSE,"mfg";"summary",#N/A,FALSE,"mfg"}</definedName>
    <definedName name="nbhj" hidden="1">{"QTD_LPO2N2",#N/A,FALSE,"QTD";"QTD_HYCO",#N/A,FALSE,"QTD";"QTD_LOUISIANA",#N/A,FALSE,"QTD";"QTD_GENERALH2",#N/A,FALSE,"QTD";"QTD_PACKAGE",#N/A,FALSE,"QTD";"QTD_PRS",#N/A,FALSE,"QTD";"QTD_OTHER",#N/A,FALSE,"QTD"}</definedName>
    <definedName name="nbv" hidden="1">{"Polymers Details",#N/A,FALSE,"Current Yr";"Polymer Details",#N/A,FALSE,"Budget";"Polymer Details",#N/A,FALSE,"Prior Year"}</definedName>
    <definedName name="nbv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newnewnew" hidden="1">{#N/A,#N/A,FALSE,"Pharm";#N/A,#N/A,FALSE,"WWCM"}</definedName>
    <definedName name="nh" hidden="1">{"AS REP",#N/A,FALSE,"EEFSNAP2";"PROP",#N/A,FALSE,"EEFSNAP2";"RISKS",#N/A,FALSE,"EEFSNAP2";"VIEW ALL",#N/A,FALSE,"EEFSNAP2"}</definedName>
    <definedName name="n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nijnsh" hidden="1">{"detail",#N/A,FALSE,"mfg";"summary",#N/A,FALSE,"mfg"}</definedName>
    <definedName name="nj9km" hidden="1">{"detail",#N/A,FALSE,"mfg";"summary",#N/A,FALSE,"mfg"}</definedName>
    <definedName name="njhfds" hidden="1">{#N/A,"PURCHM",FALSE,"Business Analysis";#N/A,"SPADD",FALSE,"Business Analysis"}</definedName>
    <definedName name="njis76" hidden="1">{"detail",#N/A,FALSE,"mfg";"summary",#N/A,FALSE,"mfg"}</definedName>
    <definedName name="njkjsh" hidden="1">{"detail",#N/A,FALSE,"mfg";"summary",#N/A,FALSE,"mfg"}</definedName>
    <definedName name="nkmi9c" hidden="1">{#N/A,"PURCHM",FALSE,"Business Analysis";#N/A,"SPADD",FALSE,"Business Analysis"}</definedName>
    <definedName name="ñlk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ñlñl" hidden="1">{"pro_view",#N/A,FALSE,"EEFSNAP2";"rep_view",#N/A,FALSE,"EEFSNAP2"}</definedName>
    <definedName name="nmnm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nnh" hidden="1">{"Pa1",#N/A,FALSE,"OpExYTDvsPY";"Pa2",#N/A,FALSE,"OpExYTDvsPY"}</definedName>
    <definedName name="nouv" hidden="1">{#N/A,#N/A,FALSE,"Pharm";#N/A,#N/A,FALSE,"WWCM"}</definedName>
    <definedName name="ñp" hidden="1">{#N/A,"PURCHM",FALSE,"Business Analysis";#N/A,"SPADD",FALSE,"Business Analysis"}</definedName>
    <definedName name="nuijh467" hidden="1">{"detail",#N/A,FALSE,"mfg";"summary",#N/A,FALSE,"mfg"}</definedName>
    <definedName name="o" hidden="1">{"detail",#N/A,FALSE,"mfg";"summary",#N/A,FALSE,"mfg"}</definedName>
    <definedName name="oifd" hidden="1">{"detail",#N/A,FALSE,"mfg";"summary",#N/A,FALSE,"mfg"}</definedName>
    <definedName name="oiirx" hidden="1">{"net assets",#N/A,FALSE,"summary";"asset turnover",#N/A,FALSE,"summary";"orona",#N/A,FALSE,"summary"}</definedName>
    <definedName name="oimn" hidden="1">{"QTD_PRS",#N/A,FALSE,"QTD"}</definedName>
    <definedName name="oins" hidden="1">{"detail",#N/A,FALSE,"mfg";"summary",#N/A,FALSE,"mfg"}</definedName>
    <definedName name="oity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oiu" hidden="1">{"AS REP",#N/A,FALSE,"EEFSNAP2";"PROP",#N/A,FALSE,"EEFSNAP2";"RISKS",#N/A,FALSE,"EEFSNAP2";"VIEW ALL",#N/A,FALSE,"EEFSNAP2"}</definedName>
    <definedName name="oiup" hidden="1">{#N/A,"PURCHM",FALSE,"Business Analysis";#N/A,"SPADD",FALSE,"Business Analysis"}</definedName>
    <definedName name="oiuy" hidden="1">{"Polymers Details",#N/A,FALSE,"Current Yr";"Polymer Details",#N/A,FALSE,"Budget";"Polymer Details",#N/A,FALSE,"Prior Year"}</definedName>
    <definedName name="OK" hidden="1">{#N/A,#N/A,FALSE,"REPORT"}</definedName>
    <definedName name="ol" hidden="1">{"vol data",#N/A,FALSE,"Datasheet";"vol graph",#N/A,FALSE,"Volume";"price data",#N/A,FALSE,"Datasheet";"price graph",#N/A,FALSE,"Price";"dp data",#N/A,FALSE,"Datasheet";"dp graph",#N/A,FALSE,"DirectProfit"}</definedName>
    <definedName name="on" hidden="1">{"overview",#N/A,FALSE,"summary";"net assets",#N/A,FALSE,"summary";"asset turnover",#N/A,FALSE,"summary";"orona",#N/A,FALSE,"summary"}</definedName>
    <definedName name="onj" hidden="1">{"Pa1",#N/A,FALSE,"OpExYTDvsPY";"Pa2",#N/A,FALSE,"OpExYTDvsPY"}</definedName>
    <definedName name="oo.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ööl" hidden="1">{#N/A,#N/A,FALSE,"KA CH  (2)"}</definedName>
    <definedName name="öölälkk" hidden="1">{#N/A,#N/A,FALSE,"Umsatz 99";#N/A,#N/A,FALSE,"ER 99 "}</definedName>
    <definedName name="ööl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oolo.lll" hidden="1">{#N/A,#N/A,FALSE,"Umsatz 99";#N/A,#N/A,FALSE,"ER 99 "}</definedName>
    <definedName name="ooo" hidden="1">{#N/A,#N/A,FALSE,"REPORT"}</definedName>
    <definedName name="ööö" hidden="1">{#N/A,#N/A,FALSE,"Produkte Erw.";#N/A,#N/A,FALSE,"Produkte Plan";#N/A,#N/A,FALSE,"Leistungen Erw.";#N/A,#N/A,FALSE,"Leistungen Plan";#N/A,#N/A,FALSE,"KA Allg.Kosten (2)";#N/A,#N/A,FALSE,"KA All.Kosten"}</definedName>
    <definedName name="oo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oooooooo" hidden="1">{#N/A,#N/A,FALSE,"Umsatz 99";#N/A,#N/A,FALSE,"ER 99 "}</definedName>
    <definedName name="opiu" hidden="1">{"Comp_of_Price_Effect",#N/A,FALSE,"QTRDPVAR"}</definedName>
    <definedName name="oplk" hidden="1">{"Page1",#N/A,FALSE,"OpExJanvsBud";"Page2",#N/A,FALSE,"OpExJanvsBud"}</definedName>
    <definedName name="opndixm" hidden="1">{"detail",#N/A,FALSE,"mfg";"summary",#N/A,FALSE,"mfg"}</definedName>
    <definedName name="other33" hidden="1">{#N/A,#N/A,FALSE,"Pharm";#N/A,#N/A,FALSE,"WWCM"}</definedName>
    <definedName name="othermar" hidden="1">{#N/A,#N/A,FALSE,"Pharm";#N/A,#N/A,FALSE,"WWCM"}</definedName>
    <definedName name="ou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owmkib" hidden="1">{"detail",#N/A,FALSE,"mfg";"summary",#N/A,FALSE,"mfg"}</definedName>
    <definedName name="p09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0io" hidden="1">{#N/A,"PURCHM",FALSE,"Business Analysis";#N/A,"SPADD",FALSE,"Business Analysis"}</definedName>
    <definedName name="pb" hidden="1">{"net assets",#N/A,FALSE,"summary";"asset turnover",#N/A,FALSE,"summary";"orona",#N/A,FALSE,"summary"}</definedName>
    <definedName name="PCA" hidden="1">"BL7FKFTY6NDALOTZZF8PFRAS6"</definedName>
    <definedName name="pd" hidden="1">{"detail",#N/A,FALSE,"mfg";"summary",#N/A,FALSE,"mfg"}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er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pg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pharma" hidden="1">{#N/A,#N/A,FALSE,"Sales Graph";#N/A,#N/A,FALSE,"PSBM";#N/A,#N/A,FALSE,"BUC Graph";#N/A,#N/A,FALSE,"P&amp;L - YTD"}</definedName>
    <definedName name="pi" hidden="1">{"oct_res_comm",#N/A,FALSE,"VarToBud"}</definedName>
    <definedName name="PILAR" hidden="1">{"detail",#N/A,FALSE,"mfg";"summary",#N/A,FALSE,"mfg"}</definedName>
    <definedName name="pilk" hidden="1">{"YD LPH2",#N/A,FALSE,"YTD"}</definedName>
    <definedName name="pk" hidden="1">{"vol data",#N/A,FALSE,"Datasheet";"vol graph",#N/A,FALSE,"Volume";"price data",#N/A,FALSE,"Datasheet";"price graph",#N/A,FALSE,"Price";"dp data",#N/A,FALSE,"Datasheet";"dp graph",#N/A,FALSE,"DirectProfit"}</definedName>
    <definedName name="pl" hidden="1">{#N/A,#N/A,FALSE,"REPORT"}</definedName>
    <definedName name="PLCepi" hidden="1">{#N/A,#N/A,FALSE,"REPORT"}</definedName>
    <definedName name="PLProcef" hidden="1">{#N/A,#N/A,FALSE,"REPORT"}</definedName>
    <definedName name="PLTaxol" hidden="1">{#N/A,#N/A,FALSE,"REPORT"}</definedName>
    <definedName name="Pnl" hidden="1">{#N/A,#N/A,FALSE,"Pharm";#N/A,#N/A,FALSE,"WWCM"}</definedName>
    <definedName name="pnsji5" hidden="1">{#N/A,"PURCHM",FALSE,"Business Analysis";#N/A,"SPADD",FALSE,"Business Analysis"}</definedName>
    <definedName name="po" hidden="1">{"detail",#N/A,FALSE,"mfg";"summary",#N/A,FALSE,"mfg"}</definedName>
    <definedName name="po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oi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iu" hidden="1">{"Performance Details",#N/A,FALSE,"Current Yr";"Performance Details",#N/A,FALSE,"Budget";"Performance Details",#N/A,FALSE,"Prior Year"}</definedName>
    <definedName name="pokj" hidden="1">{"QTD_LOUISIANA",#N/A,FALSE,"QTD"}</definedName>
    <definedName name="poo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rt29" hidden="1">{#N/A,#N/A,FALSE,"Pharm";#N/A,#N/A,FALSE,"WWCM"}</definedName>
    <definedName name="powq" hidden="1">{#N/A,"PURCHM",FALSE,"Business Analysis";#N/A,"SPADD",FALSE,"Business Analysis"}</definedName>
    <definedName name="pp" hidden="1">{"QTR494",#N/A,FALSE,"4Q94";"QTR394",#N/A,FALSE,"3Q94";"QTR294",#N/A,FALSE,"2Q94"}</definedName>
    <definedName name="ppo" hidden="1">{"YD LOUISIANA",#N/A,FALSE,"YTD"}</definedName>
    <definedName name="ppp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pqmjuz" hidden="1">{"detail",#N/A,FALSE,"mfg";"summary",#N/A,FALSE,"mfg"}</definedName>
    <definedName name="_xlnm.Print_Area" localSheetId="3">'1Q ''22 product Sales by region'!$A$1:$P$53</definedName>
    <definedName name="_xlnm.Print_Area" localSheetId="10">'1Q product sales by region '!$A$1:$P$51</definedName>
    <definedName name="_xlnm.Print_Area" localSheetId="9">'2Q product Sales by region'!$A$1:$P$51</definedName>
    <definedName name="_xlnm.Print_Area" localSheetId="8">'3Q product Sales by region'!$A$1:$P$51</definedName>
    <definedName name="_xlnm.Print_Area" localSheetId="7">'4Q product Sales by region'!$A$1:$P$51</definedName>
    <definedName name="_xlnm.Print_Area" localSheetId="0">'4Q22 Prod Sales by Region'!$A$1:$P$53</definedName>
    <definedName name="_xlnm.Print_Area" localSheetId="1">'4Q22 YTD Prod Sales by Region'!$A$1:$P$53</definedName>
    <definedName name="_xlnm.Print_Area" localSheetId="6">'FY product Sales by region'!$A$1:$P$51</definedName>
    <definedName name="Procef" hidden="1">{#N/A,#N/A,FALSE,"Pharm";#N/A,#N/A,FALSE,"WWCM"}</definedName>
    <definedName name="prod" hidden="1">{#N/A,#N/A,FALSE,"Pharm";#N/A,#N/A,FALSE,"WWCM"}</definedName>
    <definedName name="pucspadd42" hidden="1">{#N/A,"PURCHM",FALSE,"Business Analysis";#N/A,"SPADD",FALSE,"Business Analysis"}</definedName>
    <definedName name="pupi" hidden="1">{"YD OTHER",#N/A,FALSE,"YTD"}</definedName>
    <definedName name="püpoüpoüpo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püpü" hidden="1">{#N/A,#N/A,FALSE,"Umsatz 99";#N/A,#N/A,FALSE,"ER 99 "}</definedName>
    <definedName name="pz" hidden="1">{"Month Summary",#N/A,FALSE,"Summary";"Total Details",#N/A,FALSE,"Current Yr";"Polymers Details",#N/A,FALSE,"Current Yr";"Performance Details",#N/A,FALSE,"Current Yr";"ICD Details",#N/A,FALSE,"Current Yr"}</definedName>
    <definedName name="q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qaaaa" hidden="1">{"detail",#N/A,FALSE,"mfg";"summary",#N/A,FALSE,"mfg"}</definedName>
    <definedName name="qaz" hidden="1">{#N/A,#N/A,FALSE,"Pharm";#N/A,#N/A,FALSE,"WWCM"}</definedName>
    <definedName name="qeqee" hidden="1">{#N/A,#N/A,FALSE,"Produkte Erw.";#N/A,#N/A,FALSE,"Produkte Plan";#N/A,#N/A,FALSE,"Leistungen Erw.";#N/A,#N/A,FALSE,"Leistungen Plan";#N/A,#N/A,FALSE,"KA Allg.Kosten (2)";#N/A,#N/A,FALSE,"KA All.Kosten"}</definedName>
    <definedName name="qertweyu" hidden="1">{#N/A,#N/A,FALSE,"REPORT"}</definedName>
    <definedName name="qesd" hidden="1">{"Page 1",#N/A,FALSE,"OpExJanVsPY";"Page 2",#N/A,FALSE,"OpExJanVsPY"}</definedName>
    <definedName name="qetryywt" hidden="1">{#N/A,#N/A,FALSE,"REPORT"}</definedName>
    <definedName name="q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ink" hidden="1">{#N/A,"PURCHM",FALSE,"Business Analysis";#N/A,"SPADD",FALSE,"Business Analysis"}</definedName>
    <definedName name="qp" hidden="1">{"overview",#N/A,FALSE,"summary";"net assets",#N/A,FALSE,"summary";"asset turnover",#N/A,FALSE,"summary";"orona",#N/A,FALSE,"summary"}</definedName>
    <definedName name="qqkkkkk" hidden="1">{#N/A,"PURCHM",FALSE,"Business Analysis";#N/A,"SPADD",FALSE,"Business Analysis"}</definedName>
    <definedName name="qqq" hidden="1">{"QTR494",#N/A,FALSE,"4Q94";"QTR394",#N/A,FALSE,"3Q94";"QTR294",#N/A,FALSE,"2Q94"}</definedName>
    <definedName name="qqqaa" hidden="1">{"detail",#N/A,FALSE,"mfg";"summary",#N/A,FALSE,"mfg"}</definedName>
    <definedName name="qqqq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qqqqq" hidden="1">{#N/A,"PURCHM",FALSE,"Business Analysis";#N/A,"SPADD",FALSE,"Business Analysis"}</definedName>
    <definedName name="qqqqqq" hidden="1">{"QTD_PRS",#N/A,FALSE,"QTD"}</definedName>
    <definedName name="qqqqqqqqqq" hidden="1">{"pro_view",#N/A,FALSE,"EEFSNAP2";"rep_view",#N/A,FALSE,"EEFSNAP2"}</definedName>
    <definedName name="qqqqqqqqqqqqqq" hidden="1">{#N/A,#N/A,FALSE,"IS INPUT";#N/A,#N/A,FALSE,"BS INPUT";#N/A,#N/A,FALSE,"IS MTH";#N/A,#N/A,FALSE,"IS LOCAL";#N/A,#N/A,FALSE,"WON ADJ";#N/A,#N/A,FALSE,"USD ADJ";#N/A,#N/A,FALSE,"EQUITY";#N/A,#N/A,FALSE,"IS US ";#N/A,#N/A,FALSE,"BS US"}</definedName>
    <definedName name="qqqqqqqqqqqqqqqq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qqqqqqqqqqqqqqqqqq" hidden="1">{"detail",#N/A,FALSE,"mfg";"summary",#N/A,FALSE,"mfg"}</definedName>
    <definedName name="qqqqqqqqqqqqqqqqqqqqqqqqqqqqqqqqqqqqqqqqqqqqqqqqqqqqqq" hidden="1">{"TXO2N2_SLS",#N/A,FALSE,"MTHLYSLES";"TXH2_SLS",#N/A,FALSE,"MTHLYSLES";"LOUIS_SLS",#N/A,FALSE,"MTHLYSLES";"H2_SLS",#N/A,FALSE,"MTHLYSLES";"O2N2_SLS",#N/A,FALSE,"MTHLYSLES";"PACKAGE_SLS",#N/A,FALSE,"MTHLYSLES"}</definedName>
    <definedName name="qqwtweryey" hidden="1">{#N/A,#N/A,FALSE,"REPORT"}</definedName>
    <definedName name="qr" hidden="1">{"detail",#N/A,FALSE,"mfg";"summary",#N/A,FALSE,"mfg"}</definedName>
    <definedName name="q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ssss" hidden="1">{#N/A,"PURCHM",FALSE,"Business Analysis";#N/A,"SPADD",FALSE,"Business Analysis"}</definedName>
    <definedName name="qt" hidden="1">{"oct_res_comm",#N/A,FALSE,"VarToBud"}</definedName>
    <definedName name="qw" hidden="1">{#N/A,#N/A,FALSE,"REPORT"}</definedName>
    <definedName name="qw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weqwe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qwer" hidden="1">{"pro_view",#N/A,FALSE,"EEFSNAP2";"rep_view",#N/A,FALSE,"EEFSNAP2"}</definedName>
    <definedName name="qwertqry" hidden="1">{#N/A,#N/A,FALSE,"REPORT"}</definedName>
    <definedName name="qwetqryetytu" hidden="1">{#N/A,#N/A,FALSE,"Pharm";#N/A,#N/A,FALSE,"WWCM"}</definedName>
    <definedName name="qwrd" hidden="1">{"ACT",#N/A,FALSE,"Q3Elec P&amp;L fy 99  ";"BUD",#N/A,FALSE,"Q3Elec P&amp;L fy 99  ";"PRIOR",#N/A,FALSE,"Q3Elec P&amp;L fy 99  "}</definedName>
    <definedName name="qws" hidden="1">{"QTD_OTHER",#N/A,FALSE,"QTD"}</definedName>
    <definedName name="qwsa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qwsd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qwz" hidden="1">{"QTD_HYCO",#N/A,FALSE,"QTD"}</definedName>
    <definedName name="rad" hidden="1">{"PACKAGE",#N/A,FALSE,"CM"}</definedName>
    <definedName name="rd" hidden="1">{"oct_res_comm",#N/A,FALSE,"VarToBud"}</definedName>
    <definedName name="rdx" hidden="1">{"oct_res_comm",#N/A,FALSE,"VarToBud"}</definedName>
    <definedName name="rea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reggie" hidden="1">{#N/A,#N/A,FALSE,"Pharm";#N/A,#N/A,FALSE,"WWCM"}</definedName>
    <definedName name="resp." hidden="1">{#N/A,#N/A,FALSE,"Pharm";#N/A,#N/A,FALSE,"WWCM"}</definedName>
    <definedName name="rewq" hidden="1">{"sales growth",#N/A,FALSE,"summary";"oper income",#N/A,FALSE,"summary";"oros rank",#N/A,FALSE,"summary";"net assets",#N/A,FALSE,"summary";"asset turnover",#N/A,FALSE,"summary";"orona",#N/A,FALSE,"summary"}</definedName>
    <definedName name="rewtet" hidden="1">{#N/A,#N/A,FALSE,"Umsatz 99";#N/A,#N/A,FALSE,"ER 99 "}</definedName>
    <definedName name="rf2e" hidden="1">{#N/A,#N/A,FALSE,"Pharm";#N/A,#N/A,FALSE,"WWCM"}</definedName>
    <definedName name="rixi" hidden="1">{"oct_res_comm",#N/A,FALSE,"VarToBud"}</definedName>
    <definedName name="rjod" hidden="1">{"detail",#N/A,FALSE,"mfg";"summary",#N/A,FALSE,"mfg"}</definedName>
    <definedName name="rkods" hidden="1">{"detail",#N/A,FALSE,"mfg";"summary",#N/A,FALSE,"mfg"}</definedName>
    <definedName name="rr" hidden="1">{"detail",#N/A,FALSE,"mfg";"summary",#N/A,FALSE,"mfg"}</definedName>
    <definedName name="rr.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rr" hidden="1">{#N/A,"PURCHM",FALSE,"Business Analysis";#N/A,"SPADD",FALSE,"Business Analysis"}</definedName>
    <definedName name="rrrr" hidden="1">{"vol data",#N/A,FALSE,"Datasheet";"vol graph",#N/A,FALSE,"Volume";"price data",#N/A,FALSE,"Datasheet";"price graph",#N/A,FALSE,"Price";"dp data",#N/A,FALSE,"Datasheet";"dp graph",#N/A,FALSE,"DirectProfit"}</definedName>
    <definedName name="rrrrr" hidden="1">{#N/A,#N/A,FALSE,"Pharm";#N/A,#N/A,FALSE,"WWCM"}</definedName>
    <definedName name="rsac" hidden="1">{"PAGE 1",#N/A,FALSE,"COS Excluding Geismar";"PAGE 2",#N/A,FALSE,"COS Excluding Geismar";"PAGE 3",#N/A,FALSE,"COS Excluding Geismar"}</definedName>
    <definedName name="rt" hidden="1">{"detail",#N/A,FALSE,"mfg";"summary",#N/A,FALSE,"mfg"}</definedName>
    <definedName name="rtds" hidden="1">{"ICD Details",#N/A,FALSE,"Current Yr";"ICD Details",#N/A,FALSE,"Budget";"ICD Details",#N/A,FALSE,"Prior Year"}</definedName>
    <definedName name="rtfg" hidden="1">{"LAPO2N2",#N/A,FALSE,"CM";"TOTTEXAS",#N/A,FALSE,"CM";"LOUISIANA",#N/A,FALSE,"CM";"GENERALH2",#N/A,FALSE,"CM";"PRS",#N/A,FALSE,"CM";"PACKAGE",#N/A,FALSE,"CM";"OTHER",#N/A,FALSE,"CM"}</definedName>
    <definedName name="rtgh" hidden="1">{#N/A,#N/A,TRUE,"Sheet1";#N/A,#N/A,TRUE,"Sheet2";#N/A,#N/A,TRUE,"Sheet3";#N/A,#N/A,TRUE,"Sheet4";#N/A,#N/A,TRUE,"Sheet5";#N/A,#N/A,TRUE,"Sheet6";#N/A,#N/A,TRUE,"Sheet7"}</definedName>
    <definedName name="rtnb" hidden="1">{"vol data",#N/A,FALSE,"Datasheet";"vol graph",#N/A,FALSE,"Volume";"price data",#N/A,FALSE,"Datasheet";"price graph",#N/A,FALSE,"Price";"dp data",#N/A,FALSE,"Datasheet";"dp graph",#N/A,FALSE,"DirectProfit"}</definedName>
    <definedName name="rtre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ty" hidden="1">{"ICD Details",#N/A,FALSE,"Current Yr";"ICD Details",#N/A,FALSE,"Budget";"ICD Details",#N/A,FALSE,"Prior Year"}</definedName>
    <definedName name="rtyu" hidden="1">{"BA detail",#N/A,FALSE,"Q3YTD "}</definedName>
    <definedName name="ruufo" hidden="1">{"detail",#N/A,FALSE,"mfg";"summary",#N/A,FALSE,"mfg"}</definedName>
    <definedName name="rv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r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rweq" hidden="1">{"TEXO2N2_VOL",#N/A,FALSE,"MTHLYVOL";"TEXH2_VOL",#N/A,FALSE,"MTHLYVOL";"LOUIS_VOL",#N/A,FALSE,"MTHLYVOL";"H2_VOL",#N/A,FALSE,"MTHLYVOL";"O2N2_VOL",#N/A,FALSE,"MTHLYVOL";"PACKAGE_VOL",#N/A,FALSE,"MTHLYVOL"}</definedName>
    <definedName name="rwert" hidden="1">{#N/A,#N/A,FALSE,"Pharm";#N/A,#N/A,FALSE,"WWCM"}</definedName>
    <definedName name="rwew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rwsz" hidden="1">{"Commentary",#N/A,FALSE,"May"}</definedName>
    <definedName name="rwxz" hidden="1">{"TXO2N2_SLS",#N/A,FALSE,"MTHLYSLES";"TXH2_SLS",#N/A,FALSE,"MTHLYSLES";"LOUIS_SLS",#N/A,FALSE,"MTHLYSLES";"H2_SLS",#N/A,FALSE,"MTHLYSLES";"O2N2_SLS",#N/A,FALSE,"MTHLYSLES";"PACKAGE_SLS",#N/A,FALSE,"MTHLYSLES"}</definedName>
    <definedName name="rxs" hidden="1">{"Month Summary",#N/A,FALSE,"Summary";"Total Details",#N/A,FALSE,"Current Yr";"Polymers Details",#N/A,FALSE,"Current Yr";"Performance Details",#N/A,FALSE,"Current Yr";"ICD Details",#N/A,FALSE,"Current Yr"}</definedName>
    <definedName name="saf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alespp" hidden="1">{"detail",#N/A,FALSE,"mfg";"summary",#N/A,FALSE,"mfg"}</definedName>
    <definedName name="sally" hidden="1">{#N/A,#N/A,FALSE,"Pharm";#N/A,#N/A,FALSE,"WWCM"}</definedName>
    <definedName name="SAPBEXdnldView" hidden="1">"6JNNNO36IJ5KPD8H648THM6R5"</definedName>
    <definedName name="SAPBEXrevision" hidden="1">1</definedName>
    <definedName name="SAPBEXsysID" hidden="1">"P2W"</definedName>
    <definedName name="SAPBEXwbID" hidden="1">"39BK9PYXUZJESGKH2CO0E9XQZ"</definedName>
    <definedName name="sas" hidden="1">{"detail",#N/A,FALSE,"mfg";"summary",#N/A,FALSE,"mfg"}</definedName>
    <definedName name="score" hidden="1">{"detail",#N/A,FALSE,"mfg";"summary",#N/A,FALSE,"mfg"}</definedName>
    <definedName name="scorecardfy00" hidden="1">{"Comp_of_Price_Effect",#N/A,FALSE,"QTRDPVAR"}</definedName>
    <definedName name="sdafgs" hidden="1">{#N/A,#N/A,FALSE,"Pharm";#N/A,#N/A,FALSE,"WWCM"}</definedName>
    <definedName name="sdes" hidden="1">{"PACKAGE",#N/A,FALSE,"CM"}</definedName>
    <definedName name="sd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sdfdsf" hidden="1">{#N/A,#N/A,FALSE,"KA CH  (2)"}</definedName>
    <definedName name="sdfh" hidden="1">{#N/A,#N/A,FALSE,"Pharm";#N/A,#N/A,FALSE,"WWCM"}</definedName>
    <definedName name="sdgagf" hidden="1">{#N/A,#N/A,FALSE,"Pharm";#N/A,#N/A,FALSE,"WWCM"}</definedName>
    <definedName name="sdgh" hidden="1">{"qty and inventory value",#N/A,FALSE,"MPartners";"general ledger entries",#N/A,FALSE,"MPartners"}</definedName>
    <definedName name="sdsadasd" hidden="1">{#N/A,#N/A,FALSE,"Pharm";#N/A,#N/A,FALSE,"WWCM"}</definedName>
    <definedName name="sdsd" hidden="1">{#N/A,#N/A,FALSE,"REPORT"}</definedName>
    <definedName name="sea" hidden="1">{"oct_res_comm",#N/A,FALSE,"VarToBud"}</definedName>
    <definedName name="SegmentBudget" hidden="1">{"oct_res_comm",#N/A,FALSE,"VarToBud"}</definedName>
    <definedName name="sencount" hidden="1">1</definedName>
    <definedName name="sety" hidden="1">{"LAPO2N2",#N/A,FALSE,"CM"}</definedName>
    <definedName name="sf" hidden="1">{#N/A,#N/A,FALSE,"Sales Graph";#N/A,#N/A,FALSE,"BUC Graph";#N/A,#N/A,FALSE,"P&amp;L - YTD"}</definedName>
    <definedName name="sfdgfgg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sfdirect" hidden="1">{#N/A,#N/A,FALSE,"REPORT"}</definedName>
    <definedName name="sfg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idsel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Slide8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smk" hidden="1">{"QTD_GENERALH2",#N/A,FALSE,"QTD"}</definedName>
    <definedName name="sre" hidden="1">{"vol data",#N/A,FALSE,"Datasheet";"vol graph",#N/A,FALSE,"Volume";"price data",#N/A,FALSE,"Datasheet";"price graph",#N/A,FALSE,"Price";"dp data",#N/A,FALSE,"Datasheet";"dp graph",#N/A,FALSE,"DirectProfit"}</definedName>
    <definedName name="ss" hidden="1">{"detail",#N/A,FALSE,"mfg";"summary",#N/A,FALSE,"mfg"}</definedName>
    <definedName name="ssads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ssadsa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SD" hidden="1">{#N/A,#N/A,FALSE,"REPORT"}</definedName>
    <definedName name="sse" hidden="1">{"YD GENERALH2",#N/A,FALSE,"YTD"}</definedName>
    <definedName name="sss" hidden="1">{#N/A,#N/A,FALSE,"Pharm";#N/A,#N/A,FALSE,"WWCM"}</definedName>
    <definedName name="ssss" hidden="1">{#N/A,"PURCHM",FALSE,"Business Analysis";#N/A,"SPADD",FALSE,"Business Analysis"}</definedName>
    <definedName name="sssss" hidden="1">{#N/A,"PURCHM",FALSE,"Business Analysis";#N/A,"SPADD",FALSE,"Business Analysis"}</definedName>
    <definedName name="sssssssssssssssss" hidden="1">{"detail",#N/A,FALSE,"mfg";"summary",#N/A,FALSE,"mfg"}</definedName>
    <definedName name="sssswwww" hidden="1">{#N/A,"PURCHM",FALSE,"Business Analysis";#N/A,"SPADD",FALSE,"Business Analysis"}</definedName>
    <definedName name="Staril" hidden="1">{#N/A,#N/A,FALSE,"REPORT"}</definedName>
    <definedName name="StratPlanAP" hidden="1">{#N/A,#N/A,FALSE,"Pharm";#N/A,#N/A,FALSE,"WWCM"}</definedName>
    <definedName name="super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Susan" hidden="1">{#N/A,#N/A,FALSE,"Revised cover";#N/A,#N/A,FALSE,"Trends";"main view",#N/A,FALSE,"As Reported";#N/A,#N/A,FALSE,"delegations";#N/A,#N/A,FALSE,"(un) Commited"}</definedName>
    <definedName name="sw" hidden="1">{#N/A,"PURCHM",FALSE,"Business Analysis";#N/A,"SPADD",FALSE,"Business Analysis"}</definedName>
    <definedName name="swaw" hidden="1">{"TEXO2N2_VOL",#N/A,FALSE,"MTHLYVOL";"TEXH2_VOL",#N/A,FALSE,"MTHLYVOL";"LOUIS_VOL",#N/A,FALSE,"MTHLYVOL";"H2_VOL",#N/A,FALSE,"MTHLYVOL";"O2N2_VOL",#N/A,FALSE,"MTHLYVOL";"PACKAGE_VOL",#N/A,FALSE,"MTHLYVOL"}</definedName>
    <definedName name="swq" hidden="1">{#N/A,"PURCHM",FALSE,"Business Analysis";#N/A,"SPADD",FALSE,"Business Analysis"}</definedName>
    <definedName name="swr" hidden="1">{"Polymers Details",#N/A,FALSE,"Current Yr";"Polymer Details",#N/A,FALSE,"Budget";"Polymer Details",#N/A,FALSE,"Prior Year"}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z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szx" hidden="1">{"LAPO2N2",#N/A,FALSE,"CM"}</definedName>
    <definedName name="t.2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a" hidden="1">{"BA detail",#N/A,FALSE,"Q3YTD "}</definedName>
    <definedName name="tai.v4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ail.2" hidden="1">{#N/A,#N/A,FALSE,"KA CH  (2)"}</definedName>
    <definedName name="taxol" hidden="1">{#N/A,#N/A,FALSE,"Pharm";#N/A,#N/A,FALSE,"WWCM"}</definedName>
    <definedName name="tb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td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te" hidden="1">{"pro_view",#N/A,FALSE,"EEFSNAP2";"rep_view",#N/A,FALSE,"EEFSNAP2"}</definedName>
    <definedName name="Tem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r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erc" hidden="1">{"YD GENERALH2",#N/A,FALSE,"YTD"}</definedName>
    <definedName name="TEST" hidden="1">{"'TRXAllergyVolume'!$A$1:$I$47"}</definedName>
    <definedName name="test1" hidden="1">{#N/A,#N/A,TRUE,"Cover";#N/A,#N/A,TRUE,"WNRX Topline";#N/A,#N/A,TRUE,"WTRX Topline";#N/A,#N/A,TRUE,"CEDAX NRx";#N/A,#N/A,TRUE,"Key NRX";#N/A,#N/A,TRUE,"Key TRX"}</definedName>
    <definedName name="teste" hidden="1">{#N/A,#N/A,FALSE,"Pharm";#N/A,#N/A,FALSE,"WWCM"}</definedName>
    <definedName name="tf" hidden="1">{"Performance Details",#N/A,FALSE,"Current Yr";"Performance Details",#N/A,FALSE,"Budget";"Performance Details",#N/A,FALSE,"Prior Year"}</definedName>
    <definedName name="tha.2" hidden="1">{#N/A,#N/A,FALSE,"Produkte Erw.";#N/A,#N/A,FALSE,"Produkte Plan";#N/A,#N/A,FALSE,"Leistungen Erw.";#N/A,#N/A,FALSE,"Leistungen Plan";#N/A,#N/A,FALSE,"KA Allg.Kosten (2)";#N/A,#N/A,FALSE,"KA All.Kosten"}</definedName>
    <definedName name="tha.3" hidden="1">{#N/A,#N/A,FALSE,"KA CH  (2)"}</definedName>
    <definedName name="tha.4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ha.4._99" hidden="1">{#N/A,#N/A,FALSE,"Umsatz 99";#N/A,#N/A,FALSE,"ER 99 "}</definedName>
    <definedName name="Thail.2" hidden="1">{#N/A,#N/A,FALSE,"Umsatz 99";#N/A,#N/A,FALSE,"ER 99 "}</definedName>
    <definedName name="tl" hidden="1">{"Commentary",#N/A,FALSE,"May"}</definedName>
    <definedName name="tm" hidden="1">{"ICD Details",#N/A,FALSE,"Current Yr";"ICD Details",#N/A,FALSE,"Budget";"ICD Details",#N/A,FALSE,"Prior Year"}</definedName>
    <definedName name="tmto" hidden="1">{"detail",#N/A,FALSE,"mfg";"summary",#N/A,FALSE,"mfg"}</definedName>
    <definedName name="t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otal" hidden="1">{"detail",#N/A,FALSE,"mfg";"summary",#N/A,FALSE,"mfg"}</definedName>
    <definedName name="trcde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tre" hidden="1">{"pro_view",#N/A,FALSE,"EEFSNAP2";"rep_view",#N/A,FALSE,"EEFSNAP2"}</definedName>
    <definedName name="tryeuyit" hidden="1">{#N/A,#N/A,FALSE,"Pharm";#N/A,#N/A,FALSE,"WWCM"}</definedName>
    <definedName name="ts" hidden="1">{"oct_res_comm",#N/A,FALSE,"VarToBud"}</definedName>
    <definedName name="t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t.8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ttg" hidden="1">{"QTR494",#N/A,FALSE,"4Q94";"QTR394",#N/A,FALSE,"3Q94";"QTR294",#N/A,FALSE,"2Q94"}</definedName>
    <definedName name="ttt" hidden="1">{#N/A,"PURCHM",FALSE,"Business Analysis";#N/A,"SPADD",FALSE,"Business Analysis"}</definedName>
    <definedName name="tttt" hidden="1">{#N/A,#N/A,FALSE,"Produkte Erw.";#N/A,#N/A,FALSE,"Produkte Plan";#N/A,#N/A,FALSE,"Leistungen Erw.";#N/A,#N/A,FALSE,"Leistungen Plan";#N/A,#N/A,FALSE,"KA Allg.Kosten (2)";#N/A,#N/A,FALSE,"KA All.Kosten"}</definedName>
    <definedName name="tt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urd" hidden="1">{"detail",#N/A,FALSE,"mfg";"summary",#N/A,FALSE,"mfg"}</definedName>
    <definedName name="t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tynm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tyu" hidden="1">{"oct_res_comm",#N/A,FALSE,"VarToBud"}</definedName>
    <definedName name="tyui" hidden="1">{"ICD Details",#N/A,FALSE,"Current Yr";"ICD Details",#N/A,FALSE,"Budget";"ICD Details",#N/A,FALSE,"Prior Year"}</definedName>
    <definedName name="tyutytyi" hidden="1">{#N/A,#N/A,FALSE,"Pharm";#N/A,#N/A,FALSE,"WWCM"}</definedName>
    <definedName name="tyyufkjkhjd" hidden="1">{#N/A,#N/A,FALSE,"Pharm";#N/A,#N/A,FALSE,"WWCM"}</definedName>
    <definedName name="tz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tzutz.lkj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uh" hidden="1">{"detail",#N/A,FALSE,"mfg";"summary",#N/A,FALSE,"mfg"}</definedName>
    <definedName name="uiim" hidden="1">{"Pg1",#N/A,FALSE,"OpExYTDvsBud";"Pg2",#N/A,FALSE,"OpExYTDvsBud"}</definedName>
    <definedName name="uiui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nit" hidden="1">{#N/A,#N/A,FALSE,"Pharm";#N/A,#N/A,FALSE,"WWCM"}</definedName>
    <definedName name="uq" hidden="1">{"detail",#N/A,FALSE,"mfg";"summary",#N/A,FALSE,"mfg"}</definedName>
    <definedName name="ut" hidden="1">{#N/A,"PURCHM",FALSE,"Business Analysis";#N/A,"SPADD",FALSE,"Business Analysis"}</definedName>
    <definedName name="uu.kk" hidden="1">{#N/A,#N/A,FALSE,"KA CH  (2)"}</definedName>
    <definedName name="üü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üüü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üüüü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uy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uytr" hidden="1">{#N/A,"PURCHM",FALSE,"Business Analysis";#N/A,"SPADD",FALSE,"Business Analysis"}</definedName>
    <definedName name="uztuz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uzuzt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1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.10" hidden="1">{#N/A,#N/A,FALSE,"Produkte Erw.";#N/A,#N/A,FALSE,"Produkte Plan";#N/A,#N/A,FALSE,"Leistungen Erw.";#N/A,#N/A,FALSE,"Leistungen Plan";#N/A,#N/A,FALSE,"KA Allg.Kosten (2)";#N/A,#N/A,FALSE,"KA All.Kosten"}</definedName>
    <definedName name="V.2" hidden="1">{#N/A,#N/A,FALSE,"Produkte Erw.";#N/A,#N/A,FALSE,"Produkte Plan";#N/A,#N/A,FALSE,"Leistungen Erw.";#N/A,#N/A,FALSE,"Leistungen Plan";#N/A,#N/A,FALSE,"KA Allg.Kosten (2)";#N/A,#N/A,FALSE,"KA All.Kosten"}</definedName>
    <definedName name="V.3" hidden="1">{#N/A,#N/A,FALSE,"Produkte Erw.";#N/A,#N/A,FALSE,"Produkte Plan";#N/A,#N/A,FALSE,"Leistungen Erw.";#N/A,#N/A,FALSE,"Leistungen Plan";#N/A,#N/A,FALSE,"KA Allg.Kosten (2)";#N/A,#N/A,FALSE,"KA All.Kosten"}</definedName>
    <definedName name="v.6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7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8" hidden="1">{#N/A,#N/A,FALSE,"Produkte Erw.";#N/A,#N/A,FALSE,"Produkte Plan";#N/A,#N/A,FALSE,"Leistungen Erw.";#N/A,#N/A,FALSE,"Leistungen Plan";#N/A,#N/A,FALSE,"KA Allg.Kosten (2)";#N/A,#N/A,FALSE,"KA All.Kosten"}</definedName>
    <definedName name="val" hidden="1">{"detail",#N/A,FALSE,"mfg";"summary",#N/A,FALSE,"mfg"}</definedName>
    <definedName name="vbhj" hidden="1">{#N/A,"PURCHM",FALSE,"Business Analysis";#N/A,"SPADD",FALSE,"Business Analysis"}</definedName>
    <definedName name="vbnm" hidden="1">{"net assets",#N/A,FALSE,"summary";"asset turnover",#N/A,FALSE,"summary";"orona",#N/A,FALSE,"summary"}</definedName>
    <definedName name="vbvbvbv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vcd" hidden="1">{"QTR494",#N/A,FALSE,"4Q94";"QTR394",#N/A,FALSE,"3Q94";"QTR294",#N/A,FALSE,"2Q94"}</definedName>
    <definedName name="vcfd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vcvc" hidden="1">{"Polymers Details",#N/A,FALSE,"Current Yr";"Polymer Details",#N/A,FALSE,"Budget";"Polymer Details",#N/A,FALSE,"Prior Year"}</definedName>
    <definedName name="vcvcv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vcx" hidden="1">{"YD PACKAGE",#N/A,FALSE,"YTD"}</definedName>
    <definedName name="vcxz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v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vfcd" hidden="1">{"QTD",#N/A,FALSE,"SUM"}</definedName>
    <definedName name="vfhy" hidden="1">{"GENERALH2",#N/A,FALSE,"CM"}</definedName>
    <definedName name="vgf" hidden="1">{"GENERALH2",#N/A,FALSE,"CM"}</definedName>
    <definedName name="vn.2" hidden="1">{#N/A,#N/A,FALSE,"KA CH  (2)"}</definedName>
    <definedName name="vn.9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v" hidden="1">{#N/A,#N/A,FALSE,"IS US";#N/A,#N/A,FALSE,"BS US";#N/A,#N/A,FALSE,"IS LOCAL";#N/A,#N/A,FALSE,"BS INPUT";#N/A,#N/A,FALSE,"EQUITY";#N/A,#N/A,FALSE,"LOCAL ADJ";#N/A,#N/A,FALSE,"GAAP ADJ"}</definedName>
    <definedName name="vvvvvvvvvv" hidden="1">{"net assets",#N/A,FALSE,"summary";"asset turnover",#N/A,FALSE,"summary";"orona",#N/A,FALSE,"summary"}</definedName>
    <definedName name="vz" hidden="1">{"detail",#N/A,FALSE,"mfg";"summary",#N/A,FALSE,"mfg"}</definedName>
    <definedName name="w" hidden="1">{#N/A,"PURCHM",FALSE,"Business Analysis";#N/A,"SPADD",FALSE,"Business Analysis"}</definedName>
    <definedName name="w.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2f" hidden="1">{"QTD_LPO2N2",#N/A,FALSE,"QTD";"QTD_HYCO",#N/A,FALSE,"QTD";"QTD_LOUISIANA",#N/A,FALSE,"QTD";"QTD_GENERALH2",#N/A,FALSE,"QTD";"QTD_PACKAGE",#N/A,FALSE,"QTD";"QTD_PRS",#N/A,FALSE,"QTD";"QTD_OTHER",#N/A,FALSE,"QTD"}</definedName>
    <definedName name="w2r5" hidden="1">{"QTD_OTHER",#N/A,FALSE,"QTD"}</definedName>
    <definedName name="w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ae.2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ae.er_er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y" hidden="1">{"YD PRS",#N/A,FALSE,"YTD"}</definedName>
    <definedName name="we" hidden="1">{#N/A,#N/A,FALSE,"Pharm";#N/A,#N/A,FALSE,"WWCM"}</definedName>
    <definedName name="we.3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e.gb.g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3x" hidden="1">{"QTD_LPO2N2",#N/A,FALSE,"QTD"}</definedName>
    <definedName name="weaw" hidden="1">{"YTD",#N/A,FALSE,"SUM"}</definedName>
    <definedName name="weawe" hidden="1">{"QTD_HYCO",#N/A,FALSE,"QTD"}</definedName>
    <definedName name="wec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ecs" hidden="1">{"QTD_PRS",#N/A,FALSE,"QTD"}</definedName>
    <definedName name="wecsd" hidden="1">{"sales growth",#N/A,FALSE,"summary";"oper income",#N/A,FALSE,"summary";"oros rank",#N/A,FALSE,"summary";"net assets",#N/A,FALSE,"summary";"asset turnover",#N/A,FALSE,"summary";"orona",#N/A,FALSE,"summary"}</definedName>
    <definedName name="wed.2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3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s" hidden="1">{"overview",#N/A,FALSE,"summary";"net assets",#N/A,FALSE,"summary";"asset turnover",#N/A,FALSE,"summary";"orona",#N/A,FALSE,"summary"}</definedName>
    <definedName name="wee" hidden="1">{#N/A,#N/A,FALSE,"KA CH  (2)"}</definedName>
    <definedName name="weix" hidden="1">{"Comp_of_Price_Effect",#N/A,FALSE,"QTRDPVAR"}</definedName>
    <definedName name="wen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op" hidden="1">{"oct_res_comm",#N/A,FALSE,"VarToBud"}</definedName>
    <definedName name="wer.g" hidden="1">{#N/A,#N/A,FALSE,"KA CH  (2)"}</definedName>
    <definedName name="werrr" hidden="1">{#N/A,#N/A,FALSE,"Pharm";#N/A,#N/A,FALSE,"WWCM"}</definedName>
    <definedName name="wer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w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we" hidden="1">{"LOUISIANA",#N/A,FALSE,"CM"}</definedName>
    <definedName name="wews" hidden="1">{"pro_view",#N/A,FALSE,"EEFSNAP2";"rep_view",#N/A,FALSE,"EEFSNAP2"}</definedName>
    <definedName name="weza" hidden="1">{"QTD_PACKAGE",#N/A,FALSE,"QTD"}</definedName>
    <definedName name="wez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zf" hidden="1">{"YD PACKAGE",#N/A,FALSE,"YTD"}</definedName>
    <definedName name="woi" hidden="1">{"detail",#N/A,FALSE,"mfg";"summary",#N/A,FALSE,"mfg"}</definedName>
    <definedName name="womxien" hidden="1">{"detail",#N/A,FALSE,"mfg";"summary",#N/A,FALSE,"mfg"}</definedName>
    <definedName name="working" hidden="1">{#N/A,#N/A,FALSE,"REPORT"}</definedName>
    <definedName name="wq" hidden="1">{"PRS",#N/A,FALSE,"CM"}</definedName>
    <definedName name="wqa" hidden="1">{#N/A,"PURCHM",FALSE,"Business Analysis";#N/A,"SPADD",FALSE,"Business Analysis"}</definedName>
    <definedName name="wqc" hidden="1">{"ACT",#N/A,FALSE,"Q3Elec P&amp;L fy 99  ";"BUD",#N/A,FALSE,"Q3Elec P&amp;L fy 99  ";"PRIOR",#N/A,FALSE,"Q3Elec P&amp;L fy 99  "}</definedName>
    <definedName name="wqd" hidden="1">{"OTHER",#N/A,FALSE,"CM"}</definedName>
    <definedName name="wqeq" hidden="1">{"Commentary",#N/A,FALSE,"May"}</definedName>
    <definedName name="wqer" hidden="1">{"TXO2N2_SLS",#N/A,FALSE,"MTHLYSLES";"TXH2_SLS",#N/A,FALSE,"MTHLYSLES";"LOUIS_SLS",#N/A,FALSE,"MTHLYSLES";"H2_SLS",#N/A,FALSE,"MTHLYSLES";"O2N2_SLS",#N/A,FALSE,"MTHLYSLES";"PACKAGE_SLS",#N/A,FALSE,"MTHLYSLES"}</definedName>
    <definedName name="wqwq" hidden="1">{"BA detail",#N/A,FALSE,"Q3YTD "}</definedName>
    <definedName name="wqx" hidden="1">{"Comp_of_Price_Effect",#N/A,FALSE,"QTRDPVAR"}</definedName>
    <definedName name="wr34ar" hidden="1">{"QTD_LOUISIANA",#N/A,FALSE,"QTD"}</definedName>
    <definedName name="wradw" hidden="1">{"YD LAPO2",#N/A,FALSE,"YTD";"YD LPH2",#N/A,FALSE,"YTD";"YD LOUISIANA",#N/A,FALSE,"YTD";"YD GENERALH2",#N/A,FALSE,"YTD";"YD PRS",#N/A,FALSE,"YTD";"YD PACKAGE",#N/A,FALSE,"YTD";"YD OTHER",#N/A,FALSE,"YTD"}</definedName>
    <definedName name="wrc" hidden="1">{#N/A,#N/A,FALSE,"TECH CENTRE RXDU66";#N/A,#N/A,FALSE,"ASU VAAX66";#N/A,#N/A,FALSE,"TCM VAKX66"}</definedName>
    <definedName name="wrewrw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f" hidden="1">{#N/A,"PURCHM",FALSE,"Business Analysis";#N/A,"SPADD",FALSE,"Business Analysis"}</definedName>
    <definedName name="wrm.pucspaddq2" hidden="1">{#N/A,"PURCHM",FALSE,"Business Analysis";#N/A,"SPADD",FALSE,"Business Analysis"}</definedName>
    <definedName name="wrn.111111" hidden="1">{#N/A,#N/A,FALSE,"Pharm";#N/A,#N/A,FALSE,"WWCM"}</definedName>
    <definedName name="wrn.1994QTRS." hidden="1">{"QTR494",#N/A,FALSE,"4Q94";"QTR394",#N/A,FALSE,"3Q94";"QTR294",#N/A,FALSE,"2Q94"}</definedName>
    <definedName name="wrn.1994qtrss" hidden="1">{"QTR494",#N/A,FALSE,"4Q94";"QTR394",#N/A,FALSE,"3Q94";"QTR294",#N/A,FALSE,"2Q94"}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all." hidden="1">{#N/A,#N/A,FALSE,"by Plant";#N/A,#N/A,FALSE,"by Product";#N/A,#N/A,FALSE,"Calvert City";#N/A,#N/A,FALSE,"City of Industry";#N/A,#N/A,FALSE,"Cleveland";#N/A,#N/A,FALSE,"Elkton";#N/A,#N/A,FALSE,"Langley";#N/A,#N/A,FALSE,"Piedmont";#N/A,#N/A,FALSE,"South Brunswick";#N/A,#N/A,FALSE,"Non-Plant"}</definedName>
    <definedName name="wrn.all._.3._.years." hidden="1">{#N/A,#N/A,FALSE,"Worldwide FY00";#N/A,#N/A,FALSE,"Worldwide FY01";#N/A,#N/A,FALSE,"Worldwide FY02"}</definedName>
    <definedName name="wrn.All._.PnLs." hidden="1">{"Sep 98 Segment PnL",#N/A,FALSE,"Full Income Statements";"Sep 99 Segment PnL",#N/A,FALSE,"Full Income Statements";"Sep 98 PnL",#N/A,FALSE,"Full Income Statements";"Sep 99 PnL",#N/A,FALSE,"Full Income Statements"}</definedName>
    <definedName name="wrn.all._.reports." hidden="1">{"qty and inventory value",#N/A,FALSE,"MPartners";"general ledger entries",#N/A,FALSE,"MPartners"}</definedName>
    <definedName name="wrn.All._.sheets." hidden="1">{#N/A,"TCHEM",FALSE,"BSHIST.XLS";#N/A,"NONDV",FALSE,"BSHIST.XLS";#N/A,"POLY",FALSE,"BSHIST.XLS";#N/A,"PVOH",FALSE,"BSHIST.XLS";#N/A,"ACET",FALSE,"BSHIST.XLS";#N/A,"EMUL",FALSE,"BSHIST.XLS";#N/A,"ICD",FALSE,"BSHIST.XLS";#N/A,"DMU",FALSE,"BSHIST.XLS";#N/A,"METHYL",FALSE,"BSHIST.XLS";#N/A,"HIGHER",FALSE,"BSHIST.XLS";#N/A,"AMM",FALSE,"BSHIST.XLS";#N/A,"CVT",FALSE,"BSHIST.XLS";#N/A,"MEOH",FALSE,"BSHIST.XLS";#N/A,"SPEC",FALSE,"BSHIST.XLS";#N/A,"DERIV",FALSE,"BSHIST.XLS";#N/A,"PINTER",FALSE,"BSHIST.XLS";#N/A,"NEWVEN",FALSE,"BSHIST.XLS";#N/A,"PURPER",FALSE,"BSHIST.XLS";#N/A,"PURADD",FALSE,"BSHIST.XLS";#N/A,"PURSPP",FALSE,"BSHIST.XLS";#N/A,"CTGIND",FALSE,"BSHIST.XLS";#N/A,"ANCHOR",FALSE,"BSHIST.XLS";#N/A,"SPADD",FALSE,"BSHIST.XLS"}</definedName>
    <definedName name="wrn.all._.slides." hidden="1">{#N/A,#N/A,FALSE,"Trends";#N/A,#N/A,FALSE,"As Reported";#N/A,#N/A,FALSE,"(un) Commited"}</definedName>
    <definedName name="wrn.all._.views." hidden="1">{"vol data",#N/A,FALSE,"Datasheet";"vol graph",#N/A,FALSE,"Volume";"price data",#N/A,FALSE,"Datasheet";"price graph",#N/A,FALSE,"Price";"dp data",#N/A,FALSE,"Datasheet";"dp graph",#N/A,FALSE,"DirectProfit"}</definedName>
    <definedName name="wrn.APCI._.Tab." hidden="1">{#N/A,#N/A,FALSE,"P and L ";#N/A,#N/A,FALSE,"Sales";#N/A,#N/A,FALSE,"Overheads";#N/A,#N/A,FALSE,"R and D";#N/A,#N/A,FALSE,"Operating Income";#N/A,#N/A,FALSE,"Equity Affiliate Income";"M Factors Print",#N/A,FALSE,"Major Factors"}</definedName>
    <definedName name="wrn.APCT." hidden="1">{"Page1",#N/A,FALSE,"APCT";"Page2",#N/A,FALSE,"APCT"}</definedName>
    <definedName name="wrn.APL." hidden="1">{"Page1",#N/A,FALSE,"APL";"Page2",#N/A,FALSE,"APL"}</definedName>
    <definedName name="wrn.ARGON._.PRICING." hidden="1">{"ARGON PRICING",#N/A,FALSE,"ARGON"}</definedName>
    <definedName name="wrn.ARGON._.REVENUE." hidden="1">{"ARGON REVENUE",#N/A,FALSE,"ARGON"}</definedName>
    <definedName name="wrn.ARGON._.VOLUME." hidden="1">{"ARGON VOLUME",#N/A,FALSE,"ARGON"}</definedName>
    <definedName name="wrn.ARGON_VOL" hidden="1">{"ARGON VOLUME",#N/A,FALSE,"ARGON"}</definedName>
    <definedName name="wrn.Asia." hidden="1">{"PnL",#N/A,FALSE,"Gas Asia P&amp;L";"Responsibility",#N/A,FALSE,"Gas Asia P&amp;L";"Cost Control",#N/A,FALSE,"Gas Asia P&amp;L"}</definedName>
    <definedName name="wrn.balsheet." hidden="1">{"ICDANDNONDIV",#N/A,FALSE,"BSALLNOW.XLS";"polyandpurperf",#N/A,FALSE,"BSALLNOW.XLS"}</definedName>
    <definedName name="wrn.betz." hidden="1">{"net assets",#N/A,FALSE,"summary";"asset turnover",#N/A,FALSE,"summary";"orona",#N/A,FALSE,"summary"}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th." hidden="1">{"detail",#N/A,FALSE,"mfg";"summary",#N/A,FALSE,"mfg"}</definedName>
    <definedName name="wrn.Both.2" hidden="1">{"detail",#N/A,FALSE,"mfg";"summary",#N/A,FALSE,"mfg"}</definedName>
    <definedName name="wrn.both1" hidden="1">{"detail",#N/A,FALSE,"mfg";"summary",#N/A,FALSE,"mfg"}</definedName>
    <definedName name="wrn.both10" hidden="1">{"detail",#N/A,FALSE,"mfg";"summary",#N/A,FALSE,"mfg"}</definedName>
    <definedName name="wrn.both102" hidden="1">{"detail",#N/A,FALSE,"mfg";"summary",#N/A,FALSE,"mfg"}</definedName>
    <definedName name="wrn.both11" hidden="1">{"detail",#N/A,FALSE,"mfg";"summary",#N/A,FALSE,"mfg"}</definedName>
    <definedName name="wrn.both12" hidden="1">{"detail",#N/A,FALSE,"mfg";"summary",#N/A,FALSE,"mfg"}</definedName>
    <definedName name="wrn.Both31" hidden="1">{"detail",#N/A,FALSE,"mfg";"summary",#N/A,FALSE,"mfg"}</definedName>
    <definedName name="wrn.Both32" hidden="1">{"detail",#N/A,FALSE,"mfg";"summary",#N/A,FALSE,"mfg"}</definedName>
    <definedName name="wrn.Both34" hidden="1">{"detail",#N/A,FALSE,"mfg";"summary",#N/A,FALSE,"mfg"}</definedName>
    <definedName name="wrn.Both35" hidden="1">{"detail",#N/A,FALSE,"mfg";"summary",#N/A,FALSE,"mfg"}</definedName>
    <definedName name="wrn.Both42" hidden="1">{"detail",#N/A,FALSE,"mfg";"summary",#N/A,FALSE,"mfg"}</definedName>
    <definedName name="wrn.both71" hidden="1">{"detail",#N/A,FALSE,"mfg";"summary",#N/A,FALSE,"mfg"}</definedName>
    <definedName name="wrn.botha11" hidden="1">{"detail",#N/A,FALSE,"mfg";"summary",#N/A,FALSE,"mfg"}</definedName>
    <definedName name="wrn.botha2" hidden="1">{"detail",#N/A,FALSE,"mfg";"summary",#N/A,FALSE,"mfg"}</definedName>
    <definedName name="wrn.bothab2" hidden="1">{"detail",#N/A,FALSE,"mfg";"summary",#N/A,FALSE,"mfg"}</definedName>
    <definedName name="wrn.BROCHURE." hidden="1">{"ACT",#N/A,FALSE,"Q3Elec P&amp;L fy 99  ";"BUD",#N/A,FALSE,"Q3Elec P&amp;L fy 99  ";"PRIOR",#N/A,FALSE,"Q3Elec P&amp;L fy 99  "}</definedName>
    <definedName name="wrn.BROCHYTD." hidden="1">{"YTDACT",#N/A,FALSE,"YTD Cum";"YTDBUD",#N/A,FALSE,"YTD Cum";"YTDPRIOR",#N/A,FALSE,"YTD Cum"}</definedName>
    <definedName name="wrn.bsall." hidden="1">{"pg1",#N/A,FALSE,"BSALLNOW.XLS";"pg2",#N/A,FALSE,"BSALLNOW.XLS";"pg3",#N/A,FALSE,"BSALLNOW.XLS"}</definedName>
    <definedName name="wrn.Cardiovasculars." hidden="1">{#N/A,#N/A,FALSE,"Card";#N/A,#N/A,FALSE,"Prav";#N/A,#N/A,FALSE,"Irbe";#N/A,#N/A,FALSE,"Plavix";#N/A,#N/A,FALSE,"Capt";#N/A,#N/A,FALSE,"Fosi"}</definedName>
    <definedName name="wrn.CEA._.FY97." hidden="1">{"CEA FY97",#N/A,FALSE,"C.E.A. FY97"}</definedName>
    <definedName name="wrn.CEC._.slides." hidden="1">{#N/A,#N/A,FALSE,"Cover";#N/A,#N/A,FALSE,"Initial comments";#N/A,#N/A,FALSE,"Trends";#N/A,#N/A,FALSE,"marker1";#N/A,#N/A,FALSE,"Group Spending";#N/A,#N/A,FALSE,"(un) Commited";#N/A,#N/A,FALSE,"delegations";#N/A,#N/A,FALSE,"marker2";#N/A,#N/A,FALSE,"marker3";#N/A,#N/A,FALSE,"Support request";#N/A,#N/A,FALSE,"Support trends";#N/A,#N/A,FALSE,"backup cover";#N/A,#N/A,FALSE,"Acquisitions";#N/A,#N/A,FALSE,"Vs May";#N/A,#N/A,FALSE,"marker4";"main view",#N/A,FALSE,"As Reported"}</definedName>
    <definedName name="wrn.Central._.Nervous._.System." hidden="1">{#N/A,#N/A,FALSE,"CNS";#N/A,#N/A,FALSE,"Serz";#N/A,#N/A,FALSE,"Ace"}</definedName>
    <definedName name="wrn.Chemicals." hidden="1">{"PnL",#N/A,FALSE,"Chem P&amp;L";"Responsibility",#N/A,FALSE,"Chem P&amp;L";"Cost Control",#N/A,FALSE,"Chem P&amp;L"}</definedName>
    <definedName name="wrn.CM_ALL." hidden="1">{"LAPO2N2",#N/A,FALSE,"CM";"TOTTEXAS",#N/A,FALSE,"CM";"LOUISIANA",#N/A,FALSE,"CM";"GENERALH2",#N/A,FALSE,"CM";"PRS",#N/A,FALSE,"CM";"PACKAGE",#N/A,FALSE,"CM";"OTHER",#N/A,FALSE,"CM"}</definedName>
    <definedName name="wrn.CM_GENERALH2." hidden="1">{"GENERALH2",#N/A,FALSE,"CM"}</definedName>
    <definedName name="wrn.CM_LAPORTE_O2N2." hidden="1">{"LAPO2N2",#N/A,FALSE,"CM"}</definedName>
    <definedName name="wrn.CM_LOUISIANA." hidden="1">{"LOUISIANA",#N/A,FALSE,"CM"}</definedName>
    <definedName name="wrn.CM_OTHER." hidden="1">{"OTHER",#N/A,FALSE,"CM"}</definedName>
    <definedName name="wrn.CM_PACKAGE." hidden="1">{"PACKAGE",#N/A,FALSE,"CM"}</definedName>
    <definedName name="wrn.CM_PRS." hidden="1">{"PRS",#N/A,FALSE,"CM"}</definedName>
    <definedName name="wrn.CM_TEXAS._.HYCO." hidden="1">{"TOTTEXAS",#N/A,FALSE,"CM"}</definedName>
    <definedName name="wrn.CMVsBud." hidden="1">{"Page1",#N/A,FALSE,"OpExJanvsBud";"Page2",#N/A,FALSE,"OpExJanvsBud"}</definedName>
    <definedName name="wrn.CMVsPY." hidden="1">{"Page 1",#N/A,FALSE,"OpExJanVsPY";"Page 2",#N/A,FALSE,"OpExJanVsPY"}</definedName>
    <definedName name="wrn.competitor._.analysis.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wrn.Consolidated." hidden="1">{"PnL",#N/A,FALSE,"Total P&amp;L";"Cost Control",#N/A,FALSE,"Total P&amp;L"}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S." hidden="1">{"PAGE 1",#N/A,FALSE,"COS";"PAGE 2",#N/A,FALSE,"COS";"PAGE 3",#N/A,FALSE,"COS"}</definedName>
    <definedName name="wrn.COS._.EX._.GEISMAR." hidden="1">{"PAGE 1",#N/A,FALSE,"COS Excluding Geismar";"PAGE 2",#N/A,FALSE,"COS Excluding Geismar";"PAGE 3",#N/A,FALSE,"COS Excluding Geismar"}</definedName>
    <definedName name="wrn.COST._.OF._.SALES." hidden="1">{"COST OF SALES",#N/A,FALSE,"C.O.SALES"}</definedName>
    <definedName name="wrn.Current._.Month._.Current._.Yr._.Only." hidden="1">{"Month Summary",#N/A,FALSE,"Summary";"Total Details",#N/A,FALSE,"Current Yr";"Polymers Details",#N/A,FALSE,"Current Yr";"Performance Details",#N/A,FALSE,"Current Yr";"ICD Details",#N/A,FALSE,"Current Yr"}</definedName>
    <definedName name="wrn.Current._.Month._.Everything.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.d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ata.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rn.Detail._.Balance._.Sheet." hidden="1">{#N/A,#N/A,FALSE,"Detail"}</definedName>
    <definedName name="wrn.Detail_Projection." hidden="1">{#N/A,#N/A,FALSE,"Detail YTD"}</definedName>
    <definedName name="wrn.Drucken._.H.C.._.Starck.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EES_BUD_ACT_PY.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rn.EES_BUD_SNAP_ACT_PY.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wrn.EES_CHECK.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quipment." hidden="1">{"PnL",#N/A,FALSE,"Equip P&amp;L";"Responsibility",#N/A,FALSE,"Equip P&amp;L";"Cost Control",#N/A,FALSE,"Equip P&amp;L"}</definedName>
    <definedName name="wrn.Europe." hidden="1">{"PnL",#N/A,FALSE,"Gas Eur P&amp;L";"Responsibility",#N/A,FALSE,"Gas Eur P&amp;L";"Cost Control",#N/A,FALSE,"Gas Eur P&amp;L";"Program List",#N/A,FALSE,"Gas Eur P&amp;L"}</definedName>
    <definedName name="wrn.FY00._.Summary." hidden="1">{"FY00",#N/A,FALSE,"Sheet1"}</definedName>
    <definedName name="wrn.FY01._.Target." hidden="1">{"FY01 TARGET",#N/A,FALSE,"Sheet1"}</definedName>
    <definedName name="wrn.GB._.99." hidden="1">{#N/A,#N/A,FALSE,"Umsatz 99";#N/A,#N/A,FALSE,"ER 99 "}</definedName>
    <definedName name="wrn.GB._.CH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.EO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rn.GB._.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rn.GB._.OK.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wrn.gb._hm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_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HELIUM._.PRICING." hidden="1">{"HELIUM PRICING",#N/A,FALSE,"HELIUM"}</definedName>
    <definedName name="wrn.HELIUM._.REVENUE." hidden="1">{"HELIUM REVENUE",#N/A,FALSE,"HELIUM"}</definedName>
    <definedName name="wrn.HELIUM._.VOLUME." hidden="1">{"HELIUM VOLUME",#N/A,FALSE,"HELIUM"}</definedName>
    <definedName name="wrn.ICD." hidden="1">{"ICD Details",#N/A,FALSE,"Current Yr";"ICD Details",#N/A,FALSE,"Budget";"ICD Details",#N/A,FALSE,"Prior Year"}</definedName>
    <definedName name="wrn.ICD._.Balance._.Sheet." hidden="1">{#N/A,"ICD",FALSE,"BSHIST.XLS";#N/A,"DMU",FALSE,"BSHIST.XLS";#N/A,"METHYL",FALSE,"BSHIST.XLS";#N/A,"HIGHER",FALSE,"BSHIST.XLS";#N/A,"SPEC",FALSE,"BSHIST.XLS";#N/A,"DERIV",FALSE,"BSHIST.XLS";#N/A,"AMM",FALSE,"BSHIST.XLS";#N/A,"CVT",FALSE,"BSHIST.XLS";#N/A,"MEOH",FALSE,"BSHIST.XLS";#N/A,"PINTER",FALSE,"BSHIST.XLS";#N/A,"NEWVEN",FALSE,"BSHIST.XL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struksjoner." hidden="1">{#N/A,#N/A,FALSE,"Instruksjoner"}</definedName>
    <definedName name="wrn.ISRAEL." hidden="1">{#N/A,#N/A,FALSE,"TECH CENTRE RXDU66";#N/A,#N/A,FALSE,"ASU VAAX66";#N/A,#N/A,FALSE,"TCM VAKX66"}</definedName>
    <definedName name="wrn.LA._.SA." hidden="1">{"PnL",#N/A,FALSE,"Gas LA SA P&amp;L";"Responsibility",#N/A,FALSE,"Gas LA SA P&amp;L";"Cost Control",#N/A,FALSE,"Gas LA SA P&amp;L";"Program List",#N/A,FALSE,"Gas LA SA P&amp;L"}</definedName>
    <definedName name="wrn.LJD._.Review._.1." hidden="1">{"LJD 1",#N/A,FALSE,"Master";"LJD 2",#N/A,FALSE,"Sheet2";"LJD 3",#N/A,FALSE,"Sheet1";"LJD 4",#N/A,FALSE,"Sheet3";"LJD 5",#N/A,FALSE,"Sheet4"}</definedName>
    <definedName name="wrn.LPNL." hidden="1">{"LPNL1",#N/A,FALSE,"EntitiesWithReclasses";"LPNL2",#N/A,FALSE,"EntitiesWithReclasses";"LPNL3",#N/A,FALSE,"EntitiesWithReclasses"}</definedName>
    <definedName name="wrn.MANAGEMENT._.COSTS." hidden="1">{"MANAGEMENT COSTS",#N/A,FALSE,"C.CENTRE"}</definedName>
    <definedName name="wrn.MF._.commentary._.on._.variance." hidden="1">{"Commentary",#N/A,FALSE,"May"}</definedName>
    <definedName name="wrn.MF._.with._.BA._.detail." hidden="1">{"BA detail",#N/A,FALSE,"Q3YTD "}</definedName>
    <definedName name="wrn.MTHLYGP." hidden="1">{"TXO2N2_GP",#N/A,FALSE,"MTHLYGP";"TXH2_GP",#N/A,FALSE,"MTHLYGP";"LOUIS_GP",#N/A,FALSE,"MTHLYGP";"H2_GP",#N/A,FALSE,"MTHLYGP";"O2N2_GP",#N/A,FALSE,"MTHLYGP";"PACKAGE_GP",#N/A,FALSE,"MTHLYGP";"OTHER_GP",#N/A,FALSE,"MTHLYGP"}</definedName>
    <definedName name="wrn.MTHLYSLES." hidden="1">{"TXO2N2_SLS",#N/A,FALSE,"MTHLYSLES";"TXH2_SLS",#N/A,FALSE,"MTHLYSLES";"LOUIS_SLS",#N/A,FALSE,"MTHLYSLES";"H2_SLS",#N/A,FALSE,"MTHLYSLES";"O2N2_SLS",#N/A,FALSE,"MTHLYSLES";"PACKAGE_SLS",#N/A,FALSE,"MTHLYSLES"}</definedName>
    <definedName name="wrn.MTHYLYVOL." hidden="1">{"TEXO2N2_VOL",#N/A,FALSE,"MTHLYVOL";"TEXH2_VOL",#N/A,FALSE,"MTHLYVOL";"LOUIS_VOL",#N/A,FALSE,"MTHLYVOL";"H2_VOL",#N/A,FALSE,"MTHLYVOL";"O2N2_VOL",#N/A,FALSE,"MTHLYVOL";"PACKAGE_VOL",#N/A,FALSE,"MTHLYVOL"}</definedName>
    <definedName name="wrn.NewRept.xls." hidden="1">{#N/A,#N/A,TRUE,"Sheet1";#N/A,#N/A,TRUE,"Sheet2";#N/A,#N/A,TRUE,"Sheet3";#N/A,#N/A,TRUE,"Sheet4";#N/A,#N/A,TRUE,"Sheet5";#N/A,#N/A,TRUE,"Sheet6";#N/A,#N/A,TRUE,"Sheet7"}</definedName>
    <definedName name="wrn.Non._.Div._.Balance._.Sheet." hidden="1">{#N/A,"NONDV",FALSE,"BSHIST.XLS"}</definedName>
    <definedName name="wrn.North._.America." hidden="1">{"PnL",#N/A,FALSE,"Gas NA P&amp;L";"Responsibility",#N/A,FALSE,"Gas NA P&amp;L";"Cost Control",#N/A,FALSE,"Gas NA P&amp;L";"Program List",#N/A,FALSE,"Gas NA P&amp;L"}</definedName>
    <definedName name="wrn.oct_res_comm." hidden="1">{"oct_res_comm",#N/A,FALSE,"VarToBud"}</definedName>
    <definedName name="wrn.Oncology." hidden="1">{#N/A,#N/A,FALSE,"Onco";#N/A,#N/A,FALSE,"Taxol";#N/A,#N/A,FALSE,"UFT";#N/A,#N/A,FALSE,"Carb"}</definedName>
    <definedName name="wrn.Ordered._.packet." hidden="1">{"PnL",#N/A,FALSE,"Total P&amp;L";"PnL",#N/A,FALSE,"Gas NA P&amp;L";"PnL",#N/A,FALSE,"Gas Eur P&amp;L";"PnL",#N/A,FALSE,"Gas Asia P&amp;L";"PnL",#N/A,FALSE,"Gas LA SA P&amp;L";"PnL",#N/A,FALSE,"Equip P&amp;L";"PnL",#N/A,FALSE,"Chem P&amp;L";"Responsibility",#N/A,FALSE,"Gas NA P&amp;L";"Responsibility",#N/A,FALSE,"Gas Eur P&amp;L";"Responsibility",#N/A,FALSE,"Gas Asia P&amp;L";"Responsibility",#N/A,FALSE,"Gas LA SA P&amp;L";"Responsibility",#N/A,FALSE,"Equip P&amp;L";"Responsibility",#N/A,FALSE,"Chem P&amp;L";"Cost Control",#N/A,FALSE,"Total P&amp;L";"Cost Control",#N/A,FALSE,"Gas NA P&amp;L";"Cost Control",#N/A,FALSE,"Gas Eur P&amp;L";"Cost Control",#N/A,FALSE,"Gas Asia P&amp;L";"Cost Control",#N/A,FALSE,"Gas LA SA P&amp;L";"Cost Control",#N/A,FALSE,"Equip P&amp;L";"Cost Control",#N/A,FALSE,"Chem P&amp;L"}</definedName>
    <definedName name="wrn.OTC._.Market._.Report." hidden="1">{#N/A,#N/A,FALSE,"Sales Graph";#N/A,#N/A,FALSE,"BUC Graph";#N/A,#N/A,FALSE,"P&amp;L - YTD"}</definedName>
    <definedName name="wrn.OTHER._.ADMIN._.COSTS." hidden="1">{"OTHER ADMIN COSTS",#N/A,FALSE,"C.CENTRE"}</definedName>
    <definedName name="wrn.Other._.Pharm." hidden="1">{#N/A,#N/A,FALSE,"Other";#N/A,#N/A,FALSE,"Ace";#N/A,#N/A,FALSE,"Derm"}</definedName>
    <definedName name="wrn.OTHER._.REVENUE." hidden="1">{"OTHER REVENUE",#N/A,FALSE,"OTHERS"}</definedName>
    <definedName name="wrn.p" hidden="1">{#N/A,#N/A,FALSE,"1";#N/A,#N/A,FALSE,"2";#N/A,#N/A,FALSE,"16 - 17";#N/A,#N/A,FALSE,"18 - 19";#N/A,#N/A,FALSE,"26";#N/A,#N/A,FALSE,"27";#N/A,#N/A,FALSE,"28"}</definedName>
    <definedName name="wrn.PandLs." hidden="1">{"Plants",#N/A,FALSE,"Plants";"Summary",#N/A,FALSE,"Summary";"Calvert",#N/A,FALSE,"Calvert City";"City",#N/A,FALSE,"City of Industry";"Cleveland",#N/A,FALSE,"Cleveland";"Elkton",#N/A,FALSE,"Elkton";"Langley",#N/A,FALSE,"Langley";"Piedmont",#N/A,FALSE,"Piedmont";"Sbruns",#N/A,FALSE,"South Brunswick";"Nonplant",#N/A,FALSE,"NonPlant Purchases";"Notes",#N/A,FALSE,"Notes to Workbook"}</definedName>
    <definedName name="wrn.PBIT_DEV.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n.Performance." hidden="1">{"Performance Details",#N/A,FALSE,"Current Yr";"Performance Details",#N/A,FALSE,"Budget";"Performance Details",#N/A,FALSE,"Prior Year"}</definedName>
    <definedName name="wrn.PFDBalance._.Sheet." hidden="1">{#N/A,"PURPER",FALSE,"BSHIST.XLS";#N/A,"PURADD",FALSE,"BSHIST.XLS";#N/A,"PURSPP",FALSE,"BSHIST.XLS";#N/A,"CTGIND",FALSE,"BSHIST.XLS";#N/A,"ANCHOR",FALSE,"BSHIST.XLS";#N/A,"SPADD",FALSE,"BSHIST.XLS"}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MW._.Gruppe._.00_99.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wrn.PMW._.Gruppe._.99_98n.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rn.Polymers." hidden="1">{"Polymers Details",#N/A,FALSE,"Current Yr";"Polymer Details",#N/A,FALSE,"Budget";"Polymer Details",#N/A,FALSE,"Prior Year"}</definedName>
    <definedName name="wrn.Polymers._.Balance._.Sheet." hidden="1">{#N/A,"POLY",FALSE,"BSHIST.XLS";#N/A,"EMUL",FALSE,"BSHIST.XLS";#N/A,"PVOH",FALSE,"BSHIST.XLS";#N/A,"ACET",FALSE,"BSHIST.XLS"}</definedName>
    <definedName name="wrn.ppp" hidden="1">{#N/A,#N/A,FALSE,"1";#N/A,#N/A,FALSE,"2";#N/A,#N/A,FALSE,"16 - 17";#N/A,#N/A,FALSE,"18 - 19";#N/A,#N/A,FALSE,"26";#N/A,#N/A,FALSE,"27";#N/A,#N/A,FALSE,"28"}</definedName>
    <definedName name="wrn.Presentation.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esentation1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ice_Effect." hidden="1">{"Comp_of_Price_Effect",#N/A,FALSE,"QTRDPVAR"}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{#N/A,#N/A,FALSE,"Pharm";#N/A,#N/A,FALSE,"WWCM"}</definedName>
    <definedName name="wrn.PRINT." hidden="1">{"DOWNLOAD",#N/A,FALSE,"GLDownload";"UPLOAD",#N/A,FALSE,"GLUpload"}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_all." hidden="1">{"APF",#N/A,FALSE,"Bfc98-1";"APG",#N/A,FALSE,"Bfc98-1";"APND",#N/A,FALSE,"Bfc98-1";"APSA",#N/A,FALSE,"Bfc98-1";"lhy",#N/A,FALSE,"Bfc98-1";"PEC",#N/A,FALSE,"Bfc98-1"}</definedName>
    <definedName name="wrn.print2" hidden="1">{#N/A,#N/A,FALSE,"Pharm";#N/A,#N/A,FALSE,"WWCM"}</definedName>
    <definedName name="wrn.Printall.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wrn.PRODUCTION._.COSTS." hidden="1">{"PRODUCTION COSTS",#N/A,FALSE,"C.CENTRE"}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file." hidden="1">{"Profile",#N/A,FALSE,"BXS"}</definedName>
    <definedName name="wrn.PROFIT._.LOSS._.AC." hidden="1">{"PROFIT LOSS AC",#N/A,FALSE,"P&amp;L FY97"}</definedName>
    <definedName name="wrn.Profit._.Plan._.1996." hidden="1">{#N/A,#N/A,FALSE,"Sales-form";#N/A,#N/A,FALSE,"Promotion-form";#N/A,#N/A,FALSE,"Patient-form"}</definedName>
    <definedName name="wrn.Proforma." hidden="1">{"icd","icd",FALSE,"PROFORMA.XLS";"poly","poly",FALSE,"PROFORMA.XLS";"purper","purper",FALSE,"PROFORMA.XLS";"tchem","tchem",FALSE,"PROFORMA.XLS"}</definedName>
    <definedName name="wrn.PROFORMA._.CHECK._.BY._.DIVISION." hidden="1">{"PROFORMA CHECK BY DIVISION",#N/A,FALSE,"BSALLNOW.XLS"}</definedName>
    <definedName name="wrn.Project._.Summary." hidden="1">{"Summary",#N/A,FALSE,"MICMULT";"Income Statement",#N/A,FALSE,"MICMULT";"Cash Flows",#N/A,FALSE,"MICMULT"}</definedName>
    <definedName name="wrn.pror" hidden="1">{#N/A,#N/A,FALSE,"Pharm";#N/A,#N/A,FALSE,"WWCM"}</definedName>
    <definedName name="wrn.PUCSPADD." hidden="1">{#N/A,"PURCHM",FALSE,"Business Analysis";#N/A,"SPADD",FALSE,"Business Analysis"}</definedName>
    <definedName name="wrn.PUCSPADD.2" hidden="1">{#N/A,"PURCHM",FALSE,"Business Analysis";#N/A,"SPADD",FALSE,"Business Analysis"}</definedName>
    <definedName name="wrn.pucspadd1" hidden="1">{#N/A,"PURCHM",FALSE,"Business Analysis";#N/A,"SPADD",FALSE,"Business Analysis"}</definedName>
    <definedName name="wrn.pucspadd10" hidden="1">{#N/A,"PURCHM",FALSE,"Business Analysis";#N/A,"SPADD",FALSE,"Business Analysis"}</definedName>
    <definedName name="wrn.pucspadd102" hidden="1">{#N/A,"PURCHM",FALSE,"Business Analysis";#N/A,"SPADD",FALSE,"Business Analysis"}</definedName>
    <definedName name="wrn.pucspadd11" hidden="1">{#N/A,"PURCHM",FALSE,"Business Analysis";#N/A,"SPADD",FALSE,"Business Analysis"}</definedName>
    <definedName name="wrn.pucspadd12" hidden="1">{#N/A,"PURCHM",FALSE,"Business Analysis";#N/A,"SPADD",FALSE,"Business Analysis"}</definedName>
    <definedName name="wrn.pucspadd31" hidden="1">{#N/A,"PURCHM",FALSE,"Business Analysis";#N/A,"SPADD",FALSE,"Business Analysis"}</definedName>
    <definedName name="wrn.Pucspadd34" hidden="1">{#N/A,"PURCHM",FALSE,"Business Analysis";#N/A,"SPADD",FALSE,"Business Analysis"}</definedName>
    <definedName name="wrn.PUCSPADD35" hidden="1">{#N/A,"PURCHM",FALSE,"Business Analysis";#N/A,"SPADD",FALSE,"Business Analysis"}</definedName>
    <definedName name="WRN.PWO_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All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EXCL_Graphs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Graph.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wrn.QTD." hidden="1">{"QTD",#N/A,FALSE,"SUM"}</definedName>
    <definedName name="wrn.QTD_ALL." hidden="1">{"QTD_LPO2N2",#N/A,FALSE,"QTD";"QTD_HYCO",#N/A,FALSE,"QTD";"QTD_LOUISIANA",#N/A,FALSE,"QTD";"QTD_GENERALH2",#N/A,FALSE,"QTD";"QTD_PACKAGE",#N/A,FALSE,"QTD";"QTD_PRS",#N/A,FALSE,"QTD";"QTD_OTHER",#N/A,FALSE,"QTD"}</definedName>
    <definedName name="wrn.QTD_GENERAL._.H2." hidden="1">{"QTD_GENERALH2",#N/A,FALSE,"QTD"}</definedName>
    <definedName name="wrn.QTD_HYCO." hidden="1">{"QTD_HYCO",#N/A,FALSE,"QTD"}</definedName>
    <definedName name="wrn.QTD_LOUISIANA." hidden="1">{"QTD_LOUISIANA",#N/A,FALSE,"QTD"}</definedName>
    <definedName name="wrn.QTD_LPTEO2N2." hidden="1">{"QTD_LPO2N2",#N/A,FALSE,"QTD"}</definedName>
    <definedName name="wrn.QTD_OTHER." hidden="1">{"QTD_OTHER",#N/A,FALSE,"QTD"}</definedName>
    <definedName name="wrn.QTD_PACKAGE." hidden="1">{"QTD_PACKAGE",#N/A,FALSE,"QTD"}</definedName>
    <definedName name="wrn.QTD_PRS." hidden="1">{"QTD_PRS",#N/A,FALSE,"QTD"}</definedName>
    <definedName name="wrn.Range._.Values." hidden="1">{"page1",#N/A,FALSE,"Range Value - Incl Reclasses";"page2",#N/A,FALSE,"Range Value - Incl Reclasses";"page3",#N/A,FALSE,"Range Value - Incl Reclasses"}</definedName>
    <definedName name="wrn.Receivables.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wrn.redo." hidden="1">{"overview",#N/A,FALSE,"summary";"net assets",#N/A,FALSE,"summary";"asset turnover",#N/A,FALSE,"summary";"orona",#N/A,FALSE,"summary"}</definedName>
    <definedName name="wrn.redo._.2." hidden="1">{"sales growth",#N/A,FALSE,"summary";"oper income",#N/A,FALSE,"summary";"oros rank",#N/A,FALSE,"summary";"net assets",#N/A,FALSE,"summary";"asset turnover",#N/A,FALSE,"summary";"orona",#N/A,FALSE,"summary"}</definedName>
    <definedName name="wrn.Report." hidden="1">{"ReportDetail",#N/A,FALSE,"Months";"ReportSummary",#N/A,FALSE,"Avg Qtr CC - Final";"ReportDetail",#N/A,FALSE,"Avg Qtr CC - Final"}</definedName>
    <definedName name="wrn.report1." hidden="1">{"pro_view",#N/A,FALSE,"EEFSNAP2";"rep_view",#N/A,FALSE,"EEFSNAP2"}</definedName>
    <definedName name="wrn.revised._.CEC._.slides." hidden="1">{#N/A,#N/A,FALSE,"Revised cover";#N/A,#N/A,FALSE,"Trends";"main view",#N/A,FALSE,"As Reported";#N/A,#N/A,FALSE,"delegations";#N/A,#N/A,FALSE,"(un) Commited"}</definedName>
    <definedName name="wrn.Sonstige." hidden="1">{#N/A,#N/A,FALSE,"Produkte Erw.";#N/A,#N/A,FALSE,"Produkte Plan";#N/A,#N/A,FALSE,"Leistungen Erw.";#N/A,#N/A,FALSE,"Leistungen Plan";#N/A,#N/A,FALSE,"KA Allg.Kosten (2)";#N/A,#N/A,FALSE,"KA All.Kosten"}</definedName>
    <definedName name="wrn.SPEC._.GAS._.CYLS." hidden="1">{"SPEC GAS CYLS",#N/A,FALSE,"SPEC GAS"}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UMMARY." hidden="1">{"SUMMARY",#N/A,FALSE,"SUMMARY"}</definedName>
    <definedName name="wrn.Target._.Summary." hidden="1">{"SUMMARY",#N/A,FALSE,"Sheet1"}</definedName>
    <definedName name="wrn.test." hidden="1">{#N/A,#N/A,FALSE,"Brasil";#N/A,#N/A,FALSE,"Brasil"}</definedName>
    <definedName name="wrn.Tota._.Division103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Division3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Chem._.Balance._.Sheet." hidden="1">{#N/A,"TCHEM",FALSE,"BSHIST.XLS"}</definedName>
    <definedName name="wrn.Total._.Divisio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Market._.Report." hidden="1">{#N/A,#N/A,FALSE,"Sales Graph";#N/A,#N/A,FALSE,"BUC Graph";#N/A,#N/A,FALSE,"P&amp;L - YTD"}</definedName>
    <definedName name="wrn.total._Division1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3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_Divisionb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4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a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RANSPORT._.COSTS." hidden="1">{"TRANSPORT COSTS",#N/A,FALSE,"C.CENTRE"}</definedName>
    <definedName name="wrn.Variance." hidden="1">{"Act_vs_Budget",#N/A,FALSE,"QTRDPVAR";"Act_vs_Prior_Year",#N/A,FALSE,"QTRDPVAR"}</definedName>
    <definedName name="wrn.Weekly._.Rxs." hidden="1">{#N/A,#N/A,TRUE,"Cover";#N/A,#N/A,TRUE,"WNRX Topline";#N/A,#N/A,TRUE,"WTRX Topline";#N/A,#N/A,TRUE,"CEDAX NRx";#N/A,#N/A,TRUE,"Key NRX";#N/A,#N/A,TRUE,"Key TRX"}</definedName>
    <definedName name="wrn.X140." hidden="1">{"page1",#N/A,FALSE,"X140withReclasses";"page2",#N/A,FALSE,"X140withReclasses";"page3",#N/A,FALSE,"X140withReclasses"}</definedName>
    <definedName name="wrn.YTD." hidden="1">{"YTD",#N/A,FALSE,"SUM"}</definedName>
    <definedName name="wrn.YTD._.PACKAGE." hidden="1">{"YD PACKAGE",#N/A,FALSE,"YTD"}</definedName>
    <definedName name="wrn.YTD._.PRS." hidden="1">{"YD PRS",#N/A,FALSE,"YTD"}</definedName>
    <definedName name="wrn.YTD_ALL." hidden="1">{"YD LAPO2",#N/A,FALSE,"YTD";"YD LPH2",#N/A,FALSE,"YTD";"YD LOUISIANA",#N/A,FALSE,"YTD";"YD GENERALH2",#N/A,FALSE,"YTD";"YD PRS",#N/A,FALSE,"YTD";"YD PACKAGE",#N/A,FALSE,"YTD";"YD OTHER",#N/A,FALSE,"YTD"}</definedName>
    <definedName name="wrn.YTD_GENERALH2." hidden="1">{"YD GENERALH2",#N/A,FALSE,"YTD"}</definedName>
    <definedName name="wrn.YTD_LAPORTE_O2N2." hidden="1">{"YD LAPO2",#N/A,FALSE,"YTD"}</definedName>
    <definedName name="wrn.YTD_LOUISIANA." hidden="1">{"YD LOUISIANA",#N/A,FALSE,"YTD"}</definedName>
    <definedName name="wrn.YTD_OTHER." hidden="1">{"YD OTHER",#N/A,FALSE,"YTD"}</definedName>
    <definedName name="wrn.YTD_TEXAS._.HYCO." hidden="1">{"YD LPH2",#N/A,FALSE,"YTD"}</definedName>
    <definedName name="wrn.YTDvsBud." hidden="1">{"Pg1",#N/A,FALSE,"OpExYTDvsBud";"Pg2",#N/A,FALSE,"OpExYTDvsBud"}</definedName>
    <definedName name="wrn.YTDvsPY." hidden="1">{"Pa1",#N/A,FALSE,"OpExYTDvsPY";"Pa2",#N/A,FALSE,"OpExYTDvsPY"}</definedName>
    <definedName name="wrn.Zocor_forecast." hidden="1">{#N/A,#N/A,FALSE,"Sales forecast for 1995";#N/A,#N/A,FALSE,"Forecast pr. 9.05 (Uke)";#N/A,#N/A,FALSE,"Forecast pr. 9.05 (Dag)";#N/A,#N/A,FALSE,"Forecast pr. 9.05 (Uke) 3MMA"}</definedName>
    <definedName name="wrn1.Current._.Month._.Everything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1.PRINT." hidden="1">{"DOWNLOAD",#N/A,FALSE,"GLDownload";"UPLOAD",#N/A,FALSE,"GLUpload"}</definedName>
    <definedName name="wrna.prod" hidden="1">{#N/A,#N/A,FALSE,"1";#N/A,#N/A,FALSE,"2";#N/A,#N/A,FALSE,"16 - 17";#N/A,#N/A,FALSE,"18 - 19";#N/A,#N/A,FALSE,"26";#N/A,#N/A,FALSE,"27";#N/A,#N/A,FALSE,"28"}</definedName>
    <definedName name="wrnaboth" hidden="1">{"detail",#N/A,FALSE,"mfg";"summary",#N/A,FALSE,"mfg"}</definedName>
    <definedName name="wrnat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avboth" hidden="1">{"detail",#N/A,FALSE,"mfg";"summary",#N/A,FALSE,"mfg"}</definedName>
    <definedName name="wrnavpucspadd" hidden="1">{#N/A,"PURCHM",FALSE,"Business Analysis";#N/A,"SPADD",FALSE,"Business Analysis"}</definedName>
    <definedName name="wrnb213" hidden="1">{"detail",#N/A,FALSE,"mfg";"summary",#N/A,FALSE,"mfg"}</definedName>
    <definedName name="wrnb412" hidden="1">{"detail",#N/A,FALSE,"mfg";"summary",#N/A,FALSE,"mfg"}</definedName>
    <definedName name="wrnboth14a" hidden="1">{"detail",#N/A,FALSE,"mfg";"summary",#N/A,FALSE,"mfg"}</definedName>
    <definedName name="WRNP41" hidden="1">{#N/A,"PURCHM",FALSE,"Business Analysis";#N/A,"SPADD",FALSE,"Business Analysis"}</definedName>
    <definedName name="wrnp61" hidden="1">{#N/A,"PURCHM",FALSE,"Business Analysis";#N/A,"SPADD",FALSE,"Business Analysis"}</definedName>
    <definedName name="wrnpav" hidden="1">{#N/A,"PURCHM",FALSE,"Business Analysis";#N/A,"SPADD",FALSE,"Business Analysis"}</definedName>
    <definedName name="wrnpuc213" hidden="1">{#N/A,"PURCHM",FALSE,"Business Analysis";#N/A,"SPADD",FALSE,"Business Analysis"}</definedName>
    <definedName name="wrnpuc2412" hidden="1">{#N/A,"PURCHM",FALSE,"Business Analysis";#N/A,"SPADD",FALSE,"Business Analysis"}</definedName>
    <definedName name="wrnpuc412" hidden="1">{#N/A,"PURCHM",FALSE,"Business Analysis";#N/A,"SPADD",FALSE,"Business Analysis"}</definedName>
    <definedName name="wrnpucs213" hidden="1">{#N/A,"PURCHM",FALSE,"Business Analysis";#N/A,"SPADD",FALSE,"Business Analysis"}</definedName>
    <definedName name="wrnpucspadd32" hidden="1">{#N/A,"PURCHM",FALSE,"Business Analysis";#N/A,"SPADD",FALSE,"Business Analysis"}</definedName>
    <definedName name="wrnpucspaddza103" hidden="1">{#N/A,"PURCHM",FALSE,"Business Analysis";#N/A,"SPADD",FALSE,"Business Analysis"}</definedName>
    <definedName name="wrnpucspvd" hidden="1">{#N/A,"PURCHM",FALSE,"Business Analysis";#N/A,"SPADD",FALSE,"Business Analysis"}</definedName>
    <definedName name="wrnpvcs" hidden="1">{#N/A,"PURCHM",FALSE,"Business Analysis";#N/A,"SPADD",FALSE,"Business Analysis"}</definedName>
    <definedName name="wrnt5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6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7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l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x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R" hidden="1">{#N/A,#N/A,FALSE,"Pharm";#N/A,#N/A,FALSE,"WWCM"}</definedName>
    <definedName name="wr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rrrr" hidden="1">{#N/A,#N/A,FALSE,"REPORT"}</definedName>
    <definedName name="wrwer" hidden="1">{#N/A,#N/A,FALSE,"Umsatz 99";#N/A,#N/A,FALSE,"ER 99 "}</definedName>
    <definedName name="wrxav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y" hidden="1">{"YD LAPO2",#N/A,FALSE,"YTD"}</definedName>
    <definedName name="wv" hidden="1">{#N/A,#N/A,FALSE,"Pharm";#N/A,#N/A,FALSE,"WWCM"}</definedName>
    <definedName name="wvbub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ebusarea213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t.busarea34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b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7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21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35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w" hidden="1">{#N/A,#N/A,FALSE,"Pharm";#N/A,#N/A,FALSE,"WWCM"}</definedName>
    <definedName name="wwe.kk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wt" hidden="1">{"YD LAPO2",#N/A,FALSE,"YTD"}</definedName>
    <definedName name="www" hidden="1">{#N/A,"PURCHM",FALSE,"Business Analysis";#N/A,"SPADD",FALSE,"Business Analysis"}</definedName>
    <definedName name="wwww" hidden="1">{#N/A,#N/A,FALSE,"Produkte Erw.";#N/A,#N/A,FALSE,"Produkte Plan";#N/A,#N/A,FALSE,"Leistungen Erw.";#N/A,#N/A,FALSE,"Leistungen Plan";#N/A,#N/A,FALSE,"KA Allg.Kosten (2)";#N/A,#N/A,FALSE,"KA All.Kosten"}</definedName>
    <definedName name="wwwwwwwww" hidden="1">{"YTD",#N/A,FALSE,"SUM"}</definedName>
    <definedName name="wwwwwwwwwww" hidden="1">{"YD PACKAGE",#N/A,FALSE,"YTD"}</definedName>
    <definedName name="wwwwwwwwwwwwww" hidden="1">{"detail",#N/A,FALSE,"mfg";"summary",#N/A,FALSE,"mfg"}</definedName>
    <definedName name="wx" hidden="1">{#N/A,#N/A,FALSE,"Pharm";#N/A,#N/A,FALSE,"WWCM"}</definedName>
    <definedName name="x" hidden="1">{"QTR494",#N/A,FALSE,"4Q94";"QTR394",#N/A,FALSE,"3Q94";"QTR294",#N/A,FALSE,"2Q94"}</definedName>
    <definedName name="xb" hidden="1">{"BA detail",#N/A,FALSE,"Q3YTD "}</definedName>
    <definedName name="xc" hidden="1">{"ICD Details",#N/A,FALSE,"Current Yr";"ICD Details",#N/A,FALSE,"Budget";"ICD Details",#N/A,FALSE,"Prior Year"}</definedName>
    <definedName name="xcv" hidden="1">{#N/A,#N/A,FALSE,"Pharm";#N/A,#N/A,FALSE,"WWCM"}</definedName>
    <definedName name="xcvbxcvbcx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xcxc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xlx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xn" hidden="1">{"oct_res_comm",#N/A,FALSE,"VarToBud"}</definedName>
    <definedName name="xs" hidden="1">{#N/A,"PURCHM",FALSE,"Business Analysis";#N/A,"SPADD",FALSE,"Business Analysis"}</definedName>
    <definedName name="xsd" hidden="1">{"detail",#N/A,FALSE,"mfg";"summary",#N/A,FALSE,"mfg"}</definedName>
    <definedName name="x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xv" hidden="1">{"Commentary",#N/A,FALSE,"May"}</definedName>
    <definedName name="xx" hidden="1">{"QTR494",#N/A,FALSE,"4Q94";"QTR394",#N/A,FALSE,"3Q94";"QTR294",#N/A,FALSE,"2Q94"}</definedName>
    <definedName name="xxcx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xxx" hidden="1">{"QTR494",#N/A,FALSE,"4Q94";"QTR394",#N/A,FALSE,"3Q94";"QTR294",#N/A,FALSE,"2Q94"}</definedName>
    <definedName name="xxx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xxx2" hidden="1">{"oct_res_comm",#N/A,FALSE,"VarToBud"}</definedName>
    <definedName name="xxxx" hidden="1">{"detail",#N/A,FALSE,"mfg";"summary",#N/A,FALSE,"mfg"}</definedName>
    <definedName name="xxxxx" hidden="1">{#N/A,#N/A,FALSE,"Pharm";#N/A,#N/A,FALSE,"WWCM"}</definedName>
    <definedName name="XYZ" hidden="1">{"detail",#N/A,FALSE,"mfg";"summary",#N/A,FALSE,"mfg"}</definedName>
    <definedName name="xzxz" hidden="1">{#N/A,"PURCHM",FALSE,"Business Analysis";#N/A,"SPADD",FALSE,"Business Analysis"}</definedName>
    <definedName name="y" hidden="1">{#N/A,#N/A,FALSE,"Pharm";#N/A,#N/A,FALSE,"WWCM"}</definedName>
    <definedName name="yg" hidden="1">{"Polymers Details",#N/A,FALSE,"Current Yr";"Polymer Details",#N/A,FALSE,"Budget";"Polymer Details",#N/A,FALSE,"Prior Year"}</definedName>
    <definedName name="yh" hidden="1">{"Polymers Details",#N/A,FALSE,"Current Yr";"Polymer Details",#N/A,FALSE,"Budget";"Polymer Details",#N/A,FALSE,"Prior Year"}</definedName>
    <definedName name="yhn" hidden="1">{"detail",#N/A,FALSE,"mfg";"summary",#N/A,FALSE,"mfg"}</definedName>
    <definedName name="ym" hidden="1">{#N/A,"PURCHM",FALSE,"Business Analysis";#N/A,"SPADD",FALSE,"Business Analysis"}</definedName>
    <definedName name="yn" hidden="1">{"AS REP",#N/A,FALSE,"EEFSNAP2";"PROP",#N/A,FALSE,"EEFSNAP2";"RISKS",#N/A,FALSE,"EEFSNAP2";"VIEW ALL",#N/A,FALSE,"EEFSNAP2"}</definedName>
    <definedName name="yp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q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ytre" hidden="1">{"overview",#N/A,FALSE,"summary";"net assets",#N/A,FALSE,"summary";"asset turnover",#N/A,FALSE,"summary";"orona",#N/A,FALSE,"summary"}</definedName>
    <definedName name="y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ui" hidden="1">{"Commentary",#N/A,FALSE,"May"}</definedName>
    <definedName name="yuio" hidden="1">{"oct_res_comm",#N/A,FALSE,"VarToBud"}</definedName>
    <definedName name="yuop" hidden="1">{"OTHER",#N/A,FALSE,"CM"}</definedName>
    <definedName name="yv" hidden="1">{"sales growth",#N/A,FALSE,"summary";"oper income",#N/A,FALSE,"summary";"oros rank",#N/A,FALSE,"summary";"net assets",#N/A,FALSE,"summary";"asset turnover",#N/A,FALSE,"summary";"orona",#N/A,FALSE,"summary"}</definedName>
    <definedName name="yx" hidden="1">{"overview",#N/A,FALSE,"summary";"net assets",#N/A,FALSE,"summary";"asset turnover",#N/A,FALSE,"summary";"orona",#N/A,FALSE,"summary"}</definedName>
    <definedName name="yxcxycxy" hidden="1">{#N/A,#N/A,FALSE,"Umsatz 99";#N/A,#N/A,FALSE,"ER 99 "}</definedName>
    <definedName name="yy.7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yyy" hidden="1">{#N/A,#N/A,FALSE,"Other";#N/A,#N/A,FALSE,"Ace";#N/A,#N/A,FALSE,"Derm"}</definedName>
    <definedName name="Z" hidden="1">{"YD GENERALH2",#N/A,FALSE,"YTD"}</definedName>
    <definedName name="z.l" hidden="1">{#N/A,#N/A,FALSE,"KA CH  (2)"}</definedName>
    <definedName name="Z_97A60721_2700_11D3_85D2_00104B7F34BF_.wvu.PrintArea" hidden="1">[5]Slide31B!#REF!</definedName>
    <definedName name="Z_97A60722_2700_11D3_85D2_00104B7F34BF_.wvu.PrintArea" hidden="1">[5]Slide31B!#REF!</definedName>
    <definedName name="Z_97A60723_2700_11D3_85D2_00104B7F34BF_.wvu.PrintArea" hidden="1">[5]Slide31B!#REF!</definedName>
    <definedName name="Z_97A60724_2700_11D3_85D2_00104B7F34BF_.wvu.PrintArea" hidden="1">[5]Slide31B!#REF!</definedName>
    <definedName name="Z_97A60725_2700_11D3_85D2_00104B7F34BF_.wvu.PrintArea" hidden="1">[5]Slide31B!#REF!</definedName>
    <definedName name="Z_97A60726_2700_11D3_85D2_00104B7F34BF_.wvu.PrintArea" hidden="1">[5]Slide31B!#REF!</definedName>
    <definedName name="Z_97A60727_2700_11D3_85D2_00104B7F34BF_.wvu.PrintArea" hidden="1">[5]Slide31B!#REF!</definedName>
    <definedName name="Z_97A60728_2700_11D3_85D2_00104B7F34BF_.wvu.PrintArea" hidden="1">[5]Slide31B!#REF!</definedName>
    <definedName name="Z_97A60729_2700_11D3_85D2_00104B7F34BF_.wvu.PrintArea" hidden="1">[5]Slide31B!#REF!</definedName>
    <definedName name="Z_97A6072A_2700_11D3_85D2_00104B7F34BF_.wvu.PrintArea" hidden="1">[5]Slide31B!#REF!</definedName>
    <definedName name="Z_97A6072B_2700_11D3_85D2_00104B7F34BF_.wvu.PrintArea" hidden="1">[5]Slide31B!#REF!</definedName>
    <definedName name="Z_97A6072C_2700_11D3_85D2_00104B7F34BF_.wvu.PrintArea" hidden="1">[5]Slide31B!#REF!</definedName>
    <definedName name="Z_97A6072D_2700_11D3_85D2_00104B7F34BF_.wvu.PrintArea" hidden="1">[5]Slide31B!#REF!</definedName>
    <definedName name="Z_97A6072E_2700_11D3_85D2_00104B7F34BF_.wvu.PrintArea" hidden="1">[5]Slide31B!#REF!</definedName>
    <definedName name="Z_97A6072F_2700_11D3_85D2_00104B7F34BF_.wvu.PrintArea" hidden="1">[5]Slide31B!#REF!</definedName>
    <definedName name="Z_97A60730_2700_11D3_85D2_00104B7F34BF_.wvu.PrintArea" hidden="1">[5]Slide31B!#REF!</definedName>
    <definedName name="Z_97A60731_2700_11D3_85D2_00104B7F34BF_.wvu.PrintArea" hidden="1">[5]Slide31B!#REF!</definedName>
    <definedName name="Z_97A60732_2700_11D3_85D2_00104B7F34BF_.wvu.PrintArea" hidden="1">[5]Slide31B!#REF!</definedName>
    <definedName name="Z_97A60733_2700_11D3_85D2_00104B7F34BF_.wvu.PrintArea" hidden="1">[5]Slide31B!#REF!</definedName>
    <definedName name="Z_97A60734_2700_11D3_85D2_00104B7F34BF_.wvu.PrintArea" hidden="1">[5]Slide31B!#REF!</definedName>
    <definedName name="Z_97A60735_2700_11D3_85D2_00104B7F34BF_.wvu.PrintArea" hidden="1">[5]Slide31B!#REF!</definedName>
    <definedName name="Z_97A60736_2700_11D3_85D2_00104B7F34BF_.wvu.PrintArea" hidden="1">[5]Slide31B!#REF!</definedName>
    <definedName name="Z_97A60737_2700_11D3_85D2_00104B7F34BF_.wvu.PrintArea" hidden="1">[5]Slide31B!#REF!</definedName>
    <definedName name="Z_97A60738_2700_11D3_85D2_00104B7F34BF_.wvu.PrintArea" hidden="1">[5]Slide31B!#REF!</definedName>
    <definedName name="Z_97A60739_2700_11D3_85D2_00104B7F34BF_.wvu.PrintArea" hidden="1">[5]Slide31B!#REF!</definedName>
    <definedName name="Z_97A6073A_2700_11D3_85D2_00104B7F34BF_.wvu.PrintArea" hidden="1">[5]Slide31B!#REF!</definedName>
    <definedName name="Z_97A6073B_2700_11D3_85D2_00104B7F34BF_.wvu.PrintArea" hidden="1">[5]Slide31B!#REF!</definedName>
    <definedName name="Z_97A6073C_2700_11D3_85D2_00104B7F34BF_.wvu.PrintArea" hidden="1">[5]Slide31B!#REF!</definedName>
    <definedName name="Z_97A6073D_2700_11D3_85D2_00104B7F34BF_.wvu.PrintArea" hidden="1">[5]Slide31B!#REF!</definedName>
    <definedName name="Z_97A6073E_2700_11D3_85D2_00104B7F34BF_.wvu.PrintArea" hidden="1">[5]Slide31B!#REF!</definedName>
    <definedName name="za" hidden="1">{"detail",#N/A,FALSE,"mfg";"summary",#N/A,FALSE,"mfg"}</definedName>
    <definedName name="zaz" hidden="1">{#N/A,"PURCHM",FALSE,"Business Analysis";#N/A,"SPADD",FALSE,"Business Analysis"}</definedName>
    <definedName name="zhu" hidden="1">{#N/A,#N/A,FALSE,"REPORT"}</definedName>
    <definedName name="zhutr" hidden="1">{#N/A,#N/A,FALSE,"REPORT"}</definedName>
    <definedName name="zioio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l" hidden="1">{#N/A,"PURCHM",FALSE,"Business Analysis";#N/A,"SPADD",FALSE,"Business Analysis"}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xzx" hidden="1">{"oct_res_comm",#N/A,FALSE,"VarToBud"}</definedName>
    <definedName name="zz" hidden="1">{#N/A,#N/A,FALSE,"KA CH  (2)"}</definedName>
    <definedName name="zza4pg" hidden="1">{#N/A,#N/A,FALSE,"REPORT"}</definedName>
    <definedName name="zzaxz" hidden="1">{"detail",#N/A,FALSE,"mfg";"summary",#N/A,FALSE,"mfg"}</definedName>
    <definedName name="zzee" hidden="1">{#N/A,#N/A,FALSE,"Pharm";#N/A,#N/A,FALSE,"WWCM"}</definedName>
    <definedName name="zzi.7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z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zzzz" hidden="1">{#N/A,#N/A,FALSE,"REPORT"}</definedName>
    <definedName name="고" hidden="1">{#N/A,#N/A,FALSE,"REPORT"}</definedName>
    <definedName name="ㄶㅇ노ㅗㄶ호" hidden="1">{#N/A,#N/A,FALSE,"REPORT"}</definedName>
    <definedName name="미애" hidden="1">{#N/A,#N/A,FALSE,"REPORT"}</definedName>
    <definedName name="ㅂㅁ" hidden="1">{#N/A,"PURCHM",FALSE,"Business Analysis";#N/A,"SPADD",FALSE,"Business Analysis"}</definedName>
    <definedName name="이" hidden="1">{"vol data",#N/A,FALSE,"Datasheet";"vol graph",#N/A,FALSE,"Volume";"price data",#N/A,FALSE,"Datasheet";"price graph",#N/A,FALSE,"Price";"dp data",#N/A,FALSE,"Datasheet";"dp graph",#N/A,FALSE,"DirectProfit"}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16" l="1"/>
  <c r="L37" i="16"/>
  <c r="M37" i="16"/>
  <c r="N37" i="16"/>
  <c r="O37" i="16"/>
  <c r="P37" i="16"/>
  <c r="J37" i="16"/>
  <c r="E37" i="16"/>
  <c r="F37" i="16"/>
  <c r="G37" i="16"/>
  <c r="H37" i="16"/>
  <c r="D37" i="16"/>
  <c r="K30" i="16"/>
  <c r="L30" i="16"/>
  <c r="M30" i="16"/>
  <c r="N30" i="16"/>
  <c r="O30" i="16"/>
  <c r="P30" i="16"/>
  <c r="J30" i="16"/>
  <c r="C30" i="16"/>
  <c r="D30" i="16"/>
  <c r="E30" i="16"/>
  <c r="F30" i="16"/>
  <c r="G30" i="16"/>
  <c r="H30" i="16"/>
  <c r="B30" i="16"/>
  <c r="K43" i="16"/>
  <c r="L43" i="16"/>
  <c r="M43" i="16"/>
  <c r="N43" i="16"/>
  <c r="O43" i="16"/>
  <c r="P43" i="16"/>
  <c r="J43" i="16"/>
  <c r="C43" i="16"/>
  <c r="D43" i="16"/>
  <c r="E43" i="16"/>
  <c r="F43" i="16"/>
  <c r="G43" i="16"/>
  <c r="H43" i="16"/>
  <c r="B43" i="16"/>
  <c r="K49" i="16"/>
  <c r="L49" i="16"/>
  <c r="M49" i="16"/>
  <c r="N49" i="16"/>
  <c r="O49" i="16"/>
  <c r="P49" i="16"/>
  <c r="J49" i="16"/>
  <c r="C49" i="16"/>
  <c r="D49" i="16"/>
  <c r="E49" i="16"/>
  <c r="F49" i="16"/>
  <c r="G49" i="16"/>
  <c r="H49" i="16"/>
  <c r="B49" i="16"/>
  <c r="B17" i="15"/>
  <c r="C17" i="15"/>
  <c r="D17" i="15"/>
  <c r="E17" i="15"/>
  <c r="F17" i="15"/>
  <c r="G17" i="15"/>
  <c r="H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J18" i="15"/>
  <c r="K18" i="15"/>
  <c r="L18" i="15"/>
  <c r="M18" i="15"/>
  <c r="N18" i="15"/>
  <c r="O18" i="15"/>
  <c r="P18" i="15"/>
  <c r="K22" i="16"/>
  <c r="L22" i="16"/>
  <c r="L19" i="15"/>
  <c r="M22" i="16"/>
  <c r="M19" i="15"/>
  <c r="N22" i="16"/>
  <c r="O22" i="16"/>
  <c r="P22" i="16"/>
  <c r="P19" i="15"/>
  <c r="J22" i="16"/>
  <c r="C22" i="16"/>
  <c r="C19" i="15"/>
  <c r="D22" i="16"/>
  <c r="D19" i="15"/>
  <c r="E22" i="16"/>
  <c r="E19" i="15"/>
  <c r="F22" i="16"/>
  <c r="G22" i="16"/>
  <c r="H22" i="16"/>
  <c r="H19" i="15"/>
  <c r="B22" i="16"/>
  <c r="P49" i="15"/>
  <c r="P48" i="15"/>
  <c r="P46" i="15"/>
  <c r="P45" i="15"/>
  <c r="P44" i="15"/>
  <c r="P43" i="15"/>
  <c r="P40" i="15"/>
  <c r="P39" i="15"/>
  <c r="P38" i="15"/>
  <c r="P37" i="15"/>
  <c r="P34" i="15"/>
  <c r="P33" i="15"/>
  <c r="P32" i="15"/>
  <c r="P31" i="15"/>
  <c r="P30" i="15"/>
  <c r="P27" i="15"/>
  <c r="P26" i="15"/>
  <c r="P25" i="15"/>
  <c r="P24" i="15"/>
  <c r="P23" i="15"/>
  <c r="P22" i="15"/>
  <c r="P16" i="15"/>
  <c r="P15" i="15"/>
  <c r="P14" i="15"/>
  <c r="P11" i="15"/>
  <c r="P10" i="15"/>
  <c r="P9" i="15"/>
  <c r="P8" i="15"/>
  <c r="N49" i="15"/>
  <c r="N48" i="15"/>
  <c r="N46" i="15"/>
  <c r="N45" i="15"/>
  <c r="N44" i="15"/>
  <c r="N43" i="15"/>
  <c r="N40" i="15"/>
  <c r="N39" i="15"/>
  <c r="N38" i="15"/>
  <c r="N37" i="15"/>
  <c r="N34" i="15"/>
  <c r="N33" i="15"/>
  <c r="N32" i="15"/>
  <c r="N31" i="15"/>
  <c r="N30" i="15"/>
  <c r="N27" i="15"/>
  <c r="N26" i="15"/>
  <c r="N25" i="15"/>
  <c r="N24" i="15"/>
  <c r="N23" i="15"/>
  <c r="N22" i="15"/>
  <c r="N16" i="15"/>
  <c r="N15" i="15"/>
  <c r="N14" i="15"/>
  <c r="N11" i="15"/>
  <c r="N10" i="15"/>
  <c r="N9" i="15"/>
  <c r="N8" i="15"/>
  <c r="M49" i="15"/>
  <c r="M48" i="15"/>
  <c r="M46" i="15"/>
  <c r="M45" i="15"/>
  <c r="M44" i="15"/>
  <c r="M43" i="15"/>
  <c r="M40" i="15"/>
  <c r="M39" i="15"/>
  <c r="M38" i="15"/>
  <c r="M37" i="15"/>
  <c r="M34" i="15"/>
  <c r="M33" i="15"/>
  <c r="M32" i="15"/>
  <c r="M31" i="15"/>
  <c r="M30" i="15"/>
  <c r="M27" i="15"/>
  <c r="M26" i="15"/>
  <c r="M25" i="15"/>
  <c r="M24" i="15"/>
  <c r="M23" i="15"/>
  <c r="M22" i="15"/>
  <c r="M16" i="15"/>
  <c r="M15" i="15"/>
  <c r="M14" i="15"/>
  <c r="M11" i="15"/>
  <c r="M10" i="15"/>
  <c r="M9" i="15"/>
  <c r="M8" i="15"/>
  <c r="L49" i="15"/>
  <c r="L48" i="15"/>
  <c r="L46" i="15"/>
  <c r="L45" i="15"/>
  <c r="L44" i="15"/>
  <c r="L43" i="15"/>
  <c r="L40" i="15"/>
  <c r="L39" i="15"/>
  <c r="L38" i="15"/>
  <c r="L37" i="15"/>
  <c r="L34" i="15"/>
  <c r="L33" i="15"/>
  <c r="L32" i="15"/>
  <c r="L31" i="15"/>
  <c r="L30" i="15"/>
  <c r="L27" i="15"/>
  <c r="L26" i="15"/>
  <c r="L25" i="15"/>
  <c r="L24" i="15"/>
  <c r="L23" i="15"/>
  <c r="L22" i="15"/>
  <c r="L16" i="15"/>
  <c r="L15" i="15"/>
  <c r="L14" i="15"/>
  <c r="L11" i="15"/>
  <c r="L10" i="15"/>
  <c r="L9" i="15"/>
  <c r="L8" i="15"/>
  <c r="K49" i="15"/>
  <c r="K48" i="15"/>
  <c r="K46" i="15"/>
  <c r="K45" i="15"/>
  <c r="K44" i="15"/>
  <c r="K43" i="15"/>
  <c r="K40" i="15"/>
  <c r="K39" i="15"/>
  <c r="K38" i="15"/>
  <c r="K37" i="15"/>
  <c r="K34" i="15"/>
  <c r="K33" i="15"/>
  <c r="K32" i="15"/>
  <c r="K31" i="15"/>
  <c r="K30" i="15"/>
  <c r="K27" i="15"/>
  <c r="K26" i="15"/>
  <c r="K25" i="15"/>
  <c r="K24" i="15"/>
  <c r="K23" i="15"/>
  <c r="K22" i="15"/>
  <c r="K16" i="15"/>
  <c r="K15" i="15"/>
  <c r="K14" i="15"/>
  <c r="K11" i="15"/>
  <c r="K10" i="15"/>
  <c r="K9" i="15"/>
  <c r="K8" i="15"/>
  <c r="J49" i="15"/>
  <c r="J48" i="15"/>
  <c r="J46" i="15"/>
  <c r="J45" i="15"/>
  <c r="J44" i="15"/>
  <c r="J43" i="15"/>
  <c r="J40" i="15"/>
  <c r="J39" i="15"/>
  <c r="J38" i="15"/>
  <c r="J37" i="15"/>
  <c r="J34" i="15"/>
  <c r="J33" i="15"/>
  <c r="J32" i="15"/>
  <c r="J31" i="15"/>
  <c r="J30" i="15"/>
  <c r="J27" i="15"/>
  <c r="J26" i="15"/>
  <c r="J25" i="15"/>
  <c r="J24" i="15"/>
  <c r="J23" i="15"/>
  <c r="J22" i="15"/>
  <c r="J16" i="15"/>
  <c r="J15" i="15"/>
  <c r="J14" i="15"/>
  <c r="J11" i="15"/>
  <c r="J10" i="15"/>
  <c r="J9" i="15"/>
  <c r="J8" i="15"/>
  <c r="H49" i="15"/>
  <c r="H48" i="15"/>
  <c r="H46" i="15"/>
  <c r="H45" i="15"/>
  <c r="H44" i="15"/>
  <c r="H43" i="15"/>
  <c r="H40" i="15"/>
  <c r="H39" i="15"/>
  <c r="H38" i="15"/>
  <c r="H37" i="15"/>
  <c r="H34" i="15"/>
  <c r="H33" i="15"/>
  <c r="H32" i="15"/>
  <c r="H31" i="15"/>
  <c r="H30" i="15"/>
  <c r="H27" i="15"/>
  <c r="H26" i="15"/>
  <c r="H25" i="15"/>
  <c r="H24" i="15"/>
  <c r="H23" i="15"/>
  <c r="H22" i="15"/>
  <c r="H16" i="15"/>
  <c r="H15" i="15"/>
  <c r="H14" i="15"/>
  <c r="H11" i="15"/>
  <c r="H10" i="15"/>
  <c r="H9" i="15"/>
  <c r="H8" i="15"/>
  <c r="F49" i="15"/>
  <c r="F48" i="15"/>
  <c r="F46" i="15"/>
  <c r="F45" i="15"/>
  <c r="F44" i="15"/>
  <c r="F43" i="15"/>
  <c r="F40" i="15"/>
  <c r="F39" i="15"/>
  <c r="F38" i="15"/>
  <c r="F37" i="15"/>
  <c r="F34" i="15"/>
  <c r="F33" i="15"/>
  <c r="F32" i="15"/>
  <c r="F31" i="15"/>
  <c r="F30" i="15"/>
  <c r="F27" i="15"/>
  <c r="F26" i="15"/>
  <c r="F25" i="15"/>
  <c r="F24" i="15"/>
  <c r="F23" i="15"/>
  <c r="F22" i="15"/>
  <c r="F16" i="15"/>
  <c r="F15" i="15"/>
  <c r="F14" i="15"/>
  <c r="F11" i="15"/>
  <c r="F10" i="15"/>
  <c r="F9" i="15"/>
  <c r="F8" i="15"/>
  <c r="E49" i="15"/>
  <c r="E48" i="15"/>
  <c r="E46" i="15"/>
  <c r="E45" i="15"/>
  <c r="E44" i="15"/>
  <c r="E43" i="15"/>
  <c r="E40" i="15"/>
  <c r="E39" i="15"/>
  <c r="E38" i="15"/>
  <c r="E37" i="15"/>
  <c r="E34" i="15"/>
  <c r="E33" i="15"/>
  <c r="E32" i="15"/>
  <c r="E31" i="15"/>
  <c r="E30" i="15"/>
  <c r="E27" i="15"/>
  <c r="E26" i="15"/>
  <c r="E25" i="15"/>
  <c r="E24" i="15"/>
  <c r="E23" i="15"/>
  <c r="E22" i="15"/>
  <c r="E16" i="15"/>
  <c r="E15" i="15"/>
  <c r="E14" i="15"/>
  <c r="E11" i="15"/>
  <c r="E10" i="15"/>
  <c r="E9" i="15"/>
  <c r="E8" i="15"/>
  <c r="D49" i="15"/>
  <c r="D48" i="15"/>
  <c r="D46" i="15"/>
  <c r="D45" i="15"/>
  <c r="D44" i="15"/>
  <c r="D43" i="15"/>
  <c r="D40" i="15"/>
  <c r="D39" i="15"/>
  <c r="D38" i="15"/>
  <c r="D37" i="15"/>
  <c r="D34" i="15"/>
  <c r="D33" i="15"/>
  <c r="D32" i="15"/>
  <c r="D31" i="15"/>
  <c r="D30" i="15"/>
  <c r="D27" i="15"/>
  <c r="D26" i="15"/>
  <c r="D25" i="15"/>
  <c r="D24" i="15"/>
  <c r="D23" i="15"/>
  <c r="D22" i="15"/>
  <c r="D16" i="15"/>
  <c r="D15" i="15"/>
  <c r="D14" i="15"/>
  <c r="D11" i="15"/>
  <c r="D10" i="15"/>
  <c r="D9" i="15"/>
  <c r="D8" i="15"/>
  <c r="C49" i="15"/>
  <c r="C48" i="15"/>
  <c r="C46" i="15"/>
  <c r="C45" i="15"/>
  <c r="C44" i="15"/>
  <c r="C43" i="15"/>
  <c r="C40" i="15"/>
  <c r="C39" i="15"/>
  <c r="C38" i="15"/>
  <c r="C37" i="15"/>
  <c r="C34" i="15"/>
  <c r="C33" i="15"/>
  <c r="C32" i="15"/>
  <c r="C31" i="15"/>
  <c r="C30" i="15"/>
  <c r="C27" i="15"/>
  <c r="C26" i="15"/>
  <c r="C25" i="15"/>
  <c r="C24" i="15"/>
  <c r="C23" i="15"/>
  <c r="C22" i="15"/>
  <c r="C16" i="15"/>
  <c r="C15" i="15"/>
  <c r="C14" i="15"/>
  <c r="C11" i="15"/>
  <c r="C10" i="15"/>
  <c r="C9" i="15"/>
  <c r="C8" i="15"/>
  <c r="B49" i="15"/>
  <c r="B48" i="15"/>
  <c r="B46" i="15"/>
  <c r="B45" i="15"/>
  <c r="B44" i="15"/>
  <c r="B43" i="15"/>
  <c r="B40" i="15"/>
  <c r="B39" i="15"/>
  <c r="B38" i="15"/>
  <c r="B37" i="15"/>
  <c r="B34" i="15"/>
  <c r="B33" i="15"/>
  <c r="B32" i="15"/>
  <c r="B31" i="15"/>
  <c r="B30" i="15"/>
  <c r="B27" i="15"/>
  <c r="B26" i="15"/>
  <c r="B25" i="15"/>
  <c r="B24" i="15"/>
  <c r="B23" i="15"/>
  <c r="B22" i="15"/>
  <c r="B16" i="15"/>
  <c r="B15" i="15"/>
  <c r="B14" i="15"/>
  <c r="B11" i="15"/>
  <c r="B10" i="15"/>
  <c r="B9" i="15"/>
  <c r="B8" i="15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O55" i="16"/>
  <c r="O49" i="15"/>
  <c r="G55" i="16"/>
  <c r="G49" i="15"/>
  <c r="O54" i="16"/>
  <c r="G54" i="16"/>
  <c r="O53" i="16"/>
  <c r="G53" i="16"/>
  <c r="O52" i="16"/>
  <c r="G52" i="16"/>
  <c r="G48" i="15"/>
  <c r="O51" i="16"/>
  <c r="G51" i="16"/>
  <c r="O50" i="16"/>
  <c r="G50" i="16"/>
  <c r="P47" i="15"/>
  <c r="N47" i="15"/>
  <c r="M47" i="15"/>
  <c r="L47" i="15"/>
  <c r="K47" i="15"/>
  <c r="J47" i="15"/>
  <c r="H47" i="15"/>
  <c r="F47" i="15"/>
  <c r="E47" i="15"/>
  <c r="D47" i="15"/>
  <c r="C47" i="15"/>
  <c r="B47" i="15"/>
  <c r="O48" i="16"/>
  <c r="O46" i="15"/>
  <c r="G48" i="16"/>
  <c r="G46" i="15"/>
  <c r="O47" i="16"/>
  <c r="O45" i="15"/>
  <c r="G47" i="16"/>
  <c r="G45" i="15"/>
  <c r="O46" i="16"/>
  <c r="O44" i="15"/>
  <c r="G46" i="16"/>
  <c r="G44" i="15"/>
  <c r="O45" i="16"/>
  <c r="O43" i="15"/>
  <c r="G45" i="16"/>
  <c r="G43" i="15"/>
  <c r="O44" i="16"/>
  <c r="G44" i="16"/>
  <c r="Q43" i="16"/>
  <c r="P41" i="15"/>
  <c r="N41" i="15"/>
  <c r="M41" i="15"/>
  <c r="L41" i="15"/>
  <c r="K41" i="15"/>
  <c r="J41" i="15"/>
  <c r="H41" i="15"/>
  <c r="F41" i="15"/>
  <c r="E41" i="15"/>
  <c r="D41" i="15"/>
  <c r="C41" i="15"/>
  <c r="B41" i="15"/>
  <c r="O42" i="16"/>
  <c r="O40" i="15"/>
  <c r="G42" i="16"/>
  <c r="G40" i="15"/>
  <c r="O41" i="16"/>
  <c r="O39" i="15"/>
  <c r="G41" i="16"/>
  <c r="G39" i="15"/>
  <c r="O40" i="16"/>
  <c r="O38" i="15"/>
  <c r="G40" i="16"/>
  <c r="G38" i="15"/>
  <c r="O39" i="16"/>
  <c r="O37" i="15"/>
  <c r="G39" i="16"/>
  <c r="G37" i="15"/>
  <c r="O38" i="16"/>
  <c r="G38" i="16"/>
  <c r="P35" i="15"/>
  <c r="N35" i="15"/>
  <c r="M35" i="15"/>
  <c r="L35" i="15"/>
  <c r="K35" i="15"/>
  <c r="J35" i="15"/>
  <c r="H35" i="15"/>
  <c r="F35" i="15"/>
  <c r="E35" i="15"/>
  <c r="D35" i="15"/>
  <c r="C37" i="16"/>
  <c r="C35" i="15"/>
  <c r="B37" i="16"/>
  <c r="B35" i="15"/>
  <c r="O36" i="16"/>
  <c r="O34" i="15"/>
  <c r="G36" i="16"/>
  <c r="G34" i="15"/>
  <c r="O35" i="16"/>
  <c r="O33" i="15"/>
  <c r="G35" i="16"/>
  <c r="G33" i="15"/>
  <c r="O34" i="16"/>
  <c r="O32" i="15"/>
  <c r="G34" i="16"/>
  <c r="G32" i="15"/>
  <c r="O33" i="16"/>
  <c r="O31" i="15"/>
  <c r="G33" i="16"/>
  <c r="G31" i="15"/>
  <c r="O32" i="16"/>
  <c r="O30" i="15"/>
  <c r="G32" i="16"/>
  <c r="G30" i="15"/>
  <c r="O31" i="16"/>
  <c r="G31" i="16"/>
  <c r="P28" i="15"/>
  <c r="N28" i="15"/>
  <c r="M28" i="15"/>
  <c r="L28" i="15"/>
  <c r="K28" i="15"/>
  <c r="J28" i="15"/>
  <c r="H28" i="15"/>
  <c r="F28" i="15"/>
  <c r="E28" i="15"/>
  <c r="D28" i="15"/>
  <c r="C28" i="15"/>
  <c r="B28" i="15"/>
  <c r="O29" i="16"/>
  <c r="O27" i="15"/>
  <c r="G29" i="16"/>
  <c r="G27" i="15"/>
  <c r="O28" i="16"/>
  <c r="O26" i="15"/>
  <c r="G28" i="16"/>
  <c r="G26" i="15"/>
  <c r="O27" i="16"/>
  <c r="O25" i="15"/>
  <c r="G27" i="16"/>
  <c r="G25" i="15"/>
  <c r="O26" i="16"/>
  <c r="O24" i="15"/>
  <c r="G26" i="16"/>
  <c r="G24" i="15"/>
  <c r="O25" i="16"/>
  <c r="O23" i="15"/>
  <c r="G25" i="16"/>
  <c r="G23" i="15"/>
  <c r="O24" i="16"/>
  <c r="O22" i="15"/>
  <c r="G24" i="16"/>
  <c r="G22" i="15"/>
  <c r="O23" i="16"/>
  <c r="G23" i="16"/>
  <c r="N19" i="15"/>
  <c r="K19" i="15"/>
  <c r="J19" i="15"/>
  <c r="F19" i="15"/>
  <c r="B19" i="15"/>
  <c r="O19" i="16"/>
  <c r="O16" i="15"/>
  <c r="G19" i="16"/>
  <c r="G16" i="15"/>
  <c r="O18" i="16"/>
  <c r="O15" i="15"/>
  <c r="G18" i="16"/>
  <c r="G15" i="15"/>
  <c r="O17" i="16"/>
  <c r="O14" i="15"/>
  <c r="G17" i="16"/>
  <c r="G14" i="15"/>
  <c r="O16" i="16"/>
  <c r="G16" i="16"/>
  <c r="O14" i="16"/>
  <c r="O11" i="15"/>
  <c r="G14" i="16"/>
  <c r="G11" i="15"/>
  <c r="O13" i="16"/>
  <c r="O10" i="15"/>
  <c r="G13" i="16"/>
  <c r="G10" i="15"/>
  <c r="O12" i="16"/>
  <c r="O9" i="15"/>
  <c r="G12" i="16"/>
  <c r="G9" i="15"/>
  <c r="O11" i="16"/>
  <c r="O8" i="15"/>
  <c r="G11" i="16"/>
  <c r="G8" i="15"/>
  <c r="P10" i="16"/>
  <c r="P15" i="16"/>
  <c r="P12" i="15"/>
  <c r="N10" i="16"/>
  <c r="N15" i="16"/>
  <c r="N12" i="15"/>
  <c r="M10" i="16"/>
  <c r="M15" i="16"/>
  <c r="M12" i="15"/>
  <c r="L10" i="16"/>
  <c r="L15" i="16"/>
  <c r="L12" i="15"/>
  <c r="K10" i="16"/>
  <c r="K15" i="16"/>
  <c r="K12" i="15"/>
  <c r="J10" i="16"/>
  <c r="J15" i="16"/>
  <c r="J12" i="15"/>
  <c r="H10" i="16"/>
  <c r="H15" i="16"/>
  <c r="H12" i="15"/>
  <c r="F10" i="16"/>
  <c r="F15" i="16"/>
  <c r="F12" i="15"/>
  <c r="E10" i="16"/>
  <c r="E15" i="16"/>
  <c r="E12" i="15"/>
  <c r="D10" i="16"/>
  <c r="D15" i="16"/>
  <c r="D12" i="15"/>
  <c r="C10" i="16"/>
  <c r="C15" i="16"/>
  <c r="C12" i="15"/>
  <c r="B10" i="16"/>
  <c r="B7" i="15"/>
  <c r="A58" i="16"/>
  <c r="A66" i="16"/>
  <c r="A74" i="16"/>
  <c r="A82" i="16"/>
  <c r="A90" i="16"/>
  <c r="A98" i="16"/>
  <c r="A106" i="16"/>
  <c r="A114" i="16"/>
  <c r="A122" i="16"/>
  <c r="A130" i="16"/>
  <c r="A138" i="16"/>
  <c r="A146" i="16"/>
  <c r="A154" i="16"/>
  <c r="A52" i="16"/>
  <c r="A47" i="16"/>
  <c r="A32" i="16"/>
  <c r="A26" i="16"/>
  <c r="A20" i="16"/>
  <c r="P6" i="16"/>
  <c r="H6" i="16"/>
  <c r="A2" i="16"/>
  <c r="A73" i="16"/>
  <c r="A145" i="16"/>
  <c r="A9" i="16"/>
  <c r="A59" i="16"/>
  <c r="A67" i="16"/>
  <c r="A75" i="16"/>
  <c r="A83" i="16"/>
  <c r="A91" i="16"/>
  <c r="A99" i="16"/>
  <c r="A107" i="16"/>
  <c r="A115" i="16"/>
  <c r="A123" i="16"/>
  <c r="A131" i="16"/>
  <c r="A139" i="16"/>
  <c r="A147" i="16"/>
  <c r="A155" i="16"/>
  <c r="A53" i="16"/>
  <c r="A48" i="16"/>
  <c r="A33" i="16"/>
  <c r="A27" i="16"/>
  <c r="A21" i="16"/>
  <c r="J4" i="16"/>
  <c r="B4" i="16"/>
  <c r="A1" i="16"/>
  <c r="A113" i="16"/>
  <c r="A121" i="16"/>
  <c r="A46" i="16"/>
  <c r="A60" i="16"/>
  <c r="A68" i="16"/>
  <c r="A76" i="16"/>
  <c r="A84" i="16"/>
  <c r="A92" i="16"/>
  <c r="A100" i="16"/>
  <c r="A108" i="16"/>
  <c r="A116" i="16"/>
  <c r="A124" i="16"/>
  <c r="A132" i="16"/>
  <c r="A140" i="16"/>
  <c r="A148" i="16"/>
  <c r="A156" i="16"/>
  <c r="A54" i="16"/>
  <c r="A38" i="16"/>
  <c r="A34" i="16"/>
  <c r="A28" i="16"/>
  <c r="A11" i="16"/>
  <c r="J5" i="16"/>
  <c r="B5" i="16"/>
  <c r="A65" i="16"/>
  <c r="A129" i="16"/>
  <c r="A19" i="16"/>
  <c r="A61" i="16"/>
  <c r="A69" i="16"/>
  <c r="A77" i="16"/>
  <c r="A85" i="16"/>
  <c r="A93" i="16"/>
  <c r="A101" i="16"/>
  <c r="A109" i="16"/>
  <c r="A117" i="16"/>
  <c r="A125" i="16"/>
  <c r="A133" i="16"/>
  <c r="A141" i="16"/>
  <c r="A149" i="16"/>
  <c r="A157" i="16"/>
  <c r="A55" i="16"/>
  <c r="A39" i="16"/>
  <c r="A35" i="16"/>
  <c r="A29" i="16"/>
  <c r="A12" i="16"/>
  <c r="J6" i="16"/>
  <c r="B6" i="16"/>
  <c r="A97" i="16"/>
  <c r="A153" i="16"/>
  <c r="F6" i="16"/>
  <c r="A62" i="16"/>
  <c r="A70" i="16"/>
  <c r="A78" i="16"/>
  <c r="A86" i="16"/>
  <c r="A94" i="16"/>
  <c r="A102" i="16"/>
  <c r="A110" i="16"/>
  <c r="A118" i="16"/>
  <c r="A126" i="16"/>
  <c r="A134" i="16"/>
  <c r="A142" i="16"/>
  <c r="A150" i="16"/>
  <c r="A158" i="16"/>
  <c r="A50" i="16"/>
  <c r="A40" i="16"/>
  <c r="A36" i="16"/>
  <c r="A16" i="16"/>
  <c r="A13" i="16"/>
  <c r="K6" i="16"/>
  <c r="C6" i="16"/>
  <c r="A105" i="16"/>
  <c r="A137" i="16"/>
  <c r="A25" i="16"/>
  <c r="A63" i="16"/>
  <c r="A71" i="16"/>
  <c r="A79" i="16"/>
  <c r="A87" i="16"/>
  <c r="A95" i="16"/>
  <c r="A103" i="16"/>
  <c r="A111" i="16"/>
  <c r="A119" i="16"/>
  <c r="A127" i="16"/>
  <c r="A135" i="16"/>
  <c r="A143" i="16"/>
  <c r="A151" i="16"/>
  <c r="A159" i="16"/>
  <c r="A44" i="16"/>
  <c r="A41" i="16"/>
  <c r="A23" i="16"/>
  <c r="A17" i="16"/>
  <c r="A14" i="16"/>
  <c r="L6" i="16"/>
  <c r="D6" i="16"/>
  <c r="A89" i="16"/>
  <c r="A31" i="16"/>
  <c r="A64" i="16"/>
  <c r="A72" i="16"/>
  <c r="A80" i="16"/>
  <c r="A88" i="16"/>
  <c r="A96" i="16"/>
  <c r="A104" i="16"/>
  <c r="A112" i="16"/>
  <c r="A120" i="16"/>
  <c r="A128" i="16"/>
  <c r="A136" i="16"/>
  <c r="A144" i="16"/>
  <c r="A152" i="16"/>
  <c r="A160" i="16"/>
  <c r="A45" i="16"/>
  <c r="A42" i="16"/>
  <c r="A24" i="16"/>
  <c r="A18" i="16"/>
  <c r="A8" i="16"/>
  <c r="M6" i="16"/>
  <c r="E6" i="16"/>
  <c r="A81" i="16"/>
  <c r="A161" i="16"/>
  <c r="N6" i="16"/>
  <c r="O48" i="15"/>
  <c r="K7" i="15"/>
  <c r="E7" i="15"/>
  <c r="N7" i="15"/>
  <c r="H7" i="15"/>
  <c r="C7" i="15"/>
  <c r="L7" i="15"/>
  <c r="F7" i="15"/>
  <c r="J7" i="15"/>
  <c r="D7" i="15"/>
  <c r="M7" i="15"/>
  <c r="P7" i="15"/>
  <c r="O19" i="15"/>
  <c r="G19" i="15"/>
  <c r="G28" i="15"/>
  <c r="G35" i="15"/>
  <c r="O41" i="15"/>
  <c r="G10" i="16"/>
  <c r="G7" i="15"/>
  <c r="O35" i="15"/>
  <c r="G41" i="15"/>
  <c r="O28" i="15"/>
  <c r="O47" i="15"/>
  <c r="G47" i="15"/>
  <c r="O15" i="16"/>
  <c r="O12" i="15"/>
  <c r="B15" i="16"/>
  <c r="O10" i="16"/>
  <c r="O7" i="15"/>
  <c r="B7" i="13"/>
  <c r="P47" i="13"/>
  <c r="P46" i="13"/>
  <c r="P45" i="13"/>
  <c r="P44" i="13"/>
  <c r="P43" i="13"/>
  <c r="P42" i="13"/>
  <c r="P41" i="13"/>
  <c r="P39" i="13"/>
  <c r="P38" i="13"/>
  <c r="P37" i="13"/>
  <c r="P36" i="13"/>
  <c r="P35" i="13"/>
  <c r="P33" i="13"/>
  <c r="P32" i="13"/>
  <c r="P31" i="13"/>
  <c r="P30" i="13"/>
  <c r="P29" i="13"/>
  <c r="P28" i="13"/>
  <c r="P26" i="13"/>
  <c r="P25" i="13"/>
  <c r="P24" i="13"/>
  <c r="P23" i="13"/>
  <c r="P22" i="13"/>
  <c r="P21" i="13"/>
  <c r="P20" i="13"/>
  <c r="P17" i="13"/>
  <c r="P16" i="13"/>
  <c r="P15" i="13"/>
  <c r="P14" i="13"/>
  <c r="P12" i="13"/>
  <c r="P11" i="13"/>
  <c r="P10" i="13"/>
  <c r="P9" i="13"/>
  <c r="P8" i="13"/>
  <c r="P7" i="13"/>
  <c r="O47" i="13"/>
  <c r="O46" i="13"/>
  <c r="O45" i="13"/>
  <c r="O44" i="13"/>
  <c r="O43" i="13"/>
  <c r="O42" i="13"/>
  <c r="O41" i="13"/>
  <c r="O39" i="13"/>
  <c r="O38" i="13"/>
  <c r="O37" i="13"/>
  <c r="O36" i="13"/>
  <c r="O35" i="13"/>
  <c r="O33" i="13"/>
  <c r="O32" i="13"/>
  <c r="O31" i="13"/>
  <c r="O30" i="13"/>
  <c r="O29" i="13"/>
  <c r="O28" i="13"/>
  <c r="O26" i="13"/>
  <c r="O25" i="13"/>
  <c r="O24" i="13"/>
  <c r="O23" i="13"/>
  <c r="O22" i="13"/>
  <c r="O21" i="13"/>
  <c r="O20" i="13"/>
  <c r="O17" i="13"/>
  <c r="O16" i="13"/>
  <c r="O15" i="13"/>
  <c r="O14" i="13"/>
  <c r="O12" i="13"/>
  <c r="O11" i="13"/>
  <c r="O10" i="13"/>
  <c r="O9" i="13"/>
  <c r="O8" i="13"/>
  <c r="O7" i="13"/>
  <c r="N47" i="13"/>
  <c r="N46" i="13"/>
  <c r="N45" i="13"/>
  <c r="N44" i="13"/>
  <c r="N43" i="13"/>
  <c r="N42" i="13"/>
  <c r="N41" i="13"/>
  <c r="N39" i="13"/>
  <c r="N38" i="13"/>
  <c r="N37" i="13"/>
  <c r="N36" i="13"/>
  <c r="N35" i="13"/>
  <c r="N33" i="13"/>
  <c r="N32" i="13"/>
  <c r="N31" i="13"/>
  <c r="N30" i="13"/>
  <c r="N29" i="13"/>
  <c r="N28" i="13"/>
  <c r="N26" i="13"/>
  <c r="N25" i="13"/>
  <c r="N24" i="13"/>
  <c r="N23" i="13"/>
  <c r="N22" i="13"/>
  <c r="N21" i="13"/>
  <c r="N20" i="13"/>
  <c r="N17" i="13"/>
  <c r="N16" i="13"/>
  <c r="N15" i="13"/>
  <c r="N14" i="13"/>
  <c r="N12" i="13"/>
  <c r="N11" i="13"/>
  <c r="N10" i="13"/>
  <c r="N9" i="13"/>
  <c r="N8" i="13"/>
  <c r="N7" i="13"/>
  <c r="M47" i="13"/>
  <c r="M46" i="13"/>
  <c r="M45" i="13"/>
  <c r="M44" i="13"/>
  <c r="M43" i="13"/>
  <c r="M42" i="13"/>
  <c r="M41" i="13"/>
  <c r="M39" i="13"/>
  <c r="M38" i="13"/>
  <c r="M37" i="13"/>
  <c r="M36" i="13"/>
  <c r="M35" i="13"/>
  <c r="M33" i="13"/>
  <c r="M32" i="13"/>
  <c r="M31" i="13"/>
  <c r="M30" i="13"/>
  <c r="M29" i="13"/>
  <c r="M28" i="13"/>
  <c r="M26" i="13"/>
  <c r="M25" i="13"/>
  <c r="M24" i="13"/>
  <c r="M23" i="13"/>
  <c r="M22" i="13"/>
  <c r="M21" i="13"/>
  <c r="M20" i="13"/>
  <c r="M17" i="13"/>
  <c r="M16" i="13"/>
  <c r="M15" i="13"/>
  <c r="M14" i="13"/>
  <c r="M12" i="13"/>
  <c r="M11" i="13"/>
  <c r="M10" i="13"/>
  <c r="M9" i="13"/>
  <c r="M8" i="13"/>
  <c r="M7" i="13"/>
  <c r="L47" i="13"/>
  <c r="L46" i="13"/>
  <c r="L45" i="13"/>
  <c r="L44" i="13"/>
  <c r="L43" i="13"/>
  <c r="L42" i="13"/>
  <c r="L41" i="13"/>
  <c r="L39" i="13"/>
  <c r="L38" i="13"/>
  <c r="L37" i="13"/>
  <c r="L36" i="13"/>
  <c r="L35" i="13"/>
  <c r="L33" i="13"/>
  <c r="L32" i="13"/>
  <c r="L31" i="13"/>
  <c r="L30" i="13"/>
  <c r="L29" i="13"/>
  <c r="L28" i="13"/>
  <c r="L26" i="13"/>
  <c r="L25" i="13"/>
  <c r="L24" i="13"/>
  <c r="L23" i="13"/>
  <c r="L22" i="13"/>
  <c r="L21" i="13"/>
  <c r="L20" i="13"/>
  <c r="L17" i="13"/>
  <c r="L16" i="13"/>
  <c r="L15" i="13"/>
  <c r="L14" i="13"/>
  <c r="L12" i="13"/>
  <c r="L11" i="13"/>
  <c r="L10" i="13"/>
  <c r="L9" i="13"/>
  <c r="L8" i="13"/>
  <c r="L7" i="13"/>
  <c r="K47" i="13"/>
  <c r="K46" i="13"/>
  <c r="K45" i="13"/>
  <c r="K44" i="13"/>
  <c r="K43" i="13"/>
  <c r="K42" i="13"/>
  <c r="K41" i="13"/>
  <c r="K39" i="13"/>
  <c r="K38" i="13"/>
  <c r="K37" i="13"/>
  <c r="K36" i="13"/>
  <c r="K35" i="13"/>
  <c r="K33" i="13"/>
  <c r="K32" i="13"/>
  <c r="K31" i="13"/>
  <c r="K30" i="13"/>
  <c r="K29" i="13"/>
  <c r="K28" i="13"/>
  <c r="K26" i="13"/>
  <c r="K25" i="13"/>
  <c r="K24" i="13"/>
  <c r="K23" i="13"/>
  <c r="K22" i="13"/>
  <c r="K21" i="13"/>
  <c r="K20" i="13"/>
  <c r="K17" i="13"/>
  <c r="K16" i="13"/>
  <c r="K15" i="13"/>
  <c r="K14" i="13"/>
  <c r="K12" i="13"/>
  <c r="K11" i="13"/>
  <c r="K10" i="13"/>
  <c r="K9" i="13"/>
  <c r="K8" i="13"/>
  <c r="K7" i="13"/>
  <c r="J47" i="13"/>
  <c r="J46" i="13"/>
  <c r="J45" i="13"/>
  <c r="J44" i="13"/>
  <c r="J43" i="13"/>
  <c r="J42" i="13"/>
  <c r="J41" i="13"/>
  <c r="J39" i="13"/>
  <c r="J38" i="13"/>
  <c r="J37" i="13"/>
  <c r="J36" i="13"/>
  <c r="J35" i="13"/>
  <c r="J33" i="13"/>
  <c r="J32" i="13"/>
  <c r="J31" i="13"/>
  <c r="J30" i="13"/>
  <c r="J29" i="13"/>
  <c r="J28" i="13"/>
  <c r="J26" i="13"/>
  <c r="J25" i="13"/>
  <c r="J24" i="13"/>
  <c r="J23" i="13"/>
  <c r="J22" i="13"/>
  <c r="J21" i="13"/>
  <c r="J20" i="13"/>
  <c r="J17" i="13"/>
  <c r="J16" i="13"/>
  <c r="J15" i="13"/>
  <c r="J14" i="13"/>
  <c r="J12" i="13"/>
  <c r="J11" i="13"/>
  <c r="J10" i="13"/>
  <c r="J9" i="13"/>
  <c r="J8" i="13"/>
  <c r="J7" i="13"/>
  <c r="H47" i="13"/>
  <c r="H46" i="13"/>
  <c r="H45" i="13"/>
  <c r="H44" i="13"/>
  <c r="H43" i="13"/>
  <c r="H42" i="13"/>
  <c r="H41" i="13"/>
  <c r="H39" i="13"/>
  <c r="H38" i="13"/>
  <c r="H37" i="13"/>
  <c r="H36" i="13"/>
  <c r="H35" i="13"/>
  <c r="H33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7" i="13"/>
  <c r="H16" i="13"/>
  <c r="H15" i="13"/>
  <c r="H14" i="13"/>
  <c r="H12" i="13"/>
  <c r="H11" i="13"/>
  <c r="H10" i="13"/>
  <c r="H9" i="13"/>
  <c r="H8" i="13"/>
  <c r="H7" i="13"/>
  <c r="G47" i="13"/>
  <c r="G46" i="13"/>
  <c r="G45" i="13"/>
  <c r="G44" i="13"/>
  <c r="G43" i="13"/>
  <c r="G42" i="13"/>
  <c r="G41" i="13"/>
  <c r="G39" i="13"/>
  <c r="G38" i="13"/>
  <c r="G37" i="13"/>
  <c r="G36" i="13"/>
  <c r="G35" i="13"/>
  <c r="G33" i="13"/>
  <c r="G32" i="13"/>
  <c r="G31" i="13"/>
  <c r="G30" i="13"/>
  <c r="G29" i="13"/>
  <c r="G28" i="13"/>
  <c r="G26" i="13"/>
  <c r="G25" i="13"/>
  <c r="G24" i="13"/>
  <c r="G23" i="13"/>
  <c r="G22" i="13"/>
  <c r="G21" i="13"/>
  <c r="G20" i="13"/>
  <c r="G17" i="13"/>
  <c r="G16" i="13"/>
  <c r="G15" i="13"/>
  <c r="G14" i="13"/>
  <c r="G12" i="13"/>
  <c r="G11" i="13"/>
  <c r="G10" i="13"/>
  <c r="G9" i="13"/>
  <c r="G8" i="13"/>
  <c r="G7" i="13"/>
  <c r="F47" i="13"/>
  <c r="F46" i="13"/>
  <c r="F45" i="13"/>
  <c r="F44" i="13"/>
  <c r="F43" i="13"/>
  <c r="F42" i="13"/>
  <c r="F41" i="13"/>
  <c r="F39" i="13"/>
  <c r="F38" i="13"/>
  <c r="F37" i="13"/>
  <c r="F36" i="13"/>
  <c r="F35" i="13"/>
  <c r="F33" i="13"/>
  <c r="F32" i="13"/>
  <c r="F31" i="13"/>
  <c r="F30" i="13"/>
  <c r="F29" i="13"/>
  <c r="F28" i="13"/>
  <c r="F26" i="13"/>
  <c r="F25" i="13"/>
  <c r="F24" i="13"/>
  <c r="F23" i="13"/>
  <c r="F22" i="13"/>
  <c r="F21" i="13"/>
  <c r="F20" i="13"/>
  <c r="F17" i="13"/>
  <c r="F16" i="13"/>
  <c r="F15" i="13"/>
  <c r="F14" i="13"/>
  <c r="F12" i="13"/>
  <c r="F11" i="13"/>
  <c r="F10" i="13"/>
  <c r="F9" i="13"/>
  <c r="F8" i="13"/>
  <c r="F7" i="13"/>
  <c r="E47" i="13"/>
  <c r="E46" i="13"/>
  <c r="E45" i="13"/>
  <c r="E44" i="13"/>
  <c r="E43" i="13"/>
  <c r="E42" i="13"/>
  <c r="E41" i="13"/>
  <c r="E39" i="13"/>
  <c r="E38" i="13"/>
  <c r="E37" i="13"/>
  <c r="E36" i="13"/>
  <c r="E35" i="13"/>
  <c r="E33" i="13"/>
  <c r="E32" i="13"/>
  <c r="E31" i="13"/>
  <c r="E30" i="13"/>
  <c r="E29" i="13"/>
  <c r="E28" i="13"/>
  <c r="E26" i="13"/>
  <c r="E25" i="13"/>
  <c r="E24" i="13"/>
  <c r="E23" i="13"/>
  <c r="E22" i="13"/>
  <c r="E21" i="13"/>
  <c r="E20" i="13"/>
  <c r="E17" i="13"/>
  <c r="E16" i="13"/>
  <c r="E15" i="13"/>
  <c r="E14" i="13"/>
  <c r="E12" i="13"/>
  <c r="E11" i="13"/>
  <c r="E10" i="13"/>
  <c r="E9" i="13"/>
  <c r="E8" i="13"/>
  <c r="E7" i="13"/>
  <c r="D47" i="13"/>
  <c r="D46" i="13"/>
  <c r="D45" i="13"/>
  <c r="D44" i="13"/>
  <c r="D43" i="13"/>
  <c r="D42" i="13"/>
  <c r="D41" i="13"/>
  <c r="D39" i="13"/>
  <c r="D38" i="13"/>
  <c r="D37" i="13"/>
  <c r="D36" i="13"/>
  <c r="D35" i="13"/>
  <c r="D33" i="13"/>
  <c r="D32" i="13"/>
  <c r="D31" i="13"/>
  <c r="D30" i="13"/>
  <c r="D29" i="13"/>
  <c r="D28" i="13"/>
  <c r="D26" i="13"/>
  <c r="D25" i="13"/>
  <c r="D24" i="13"/>
  <c r="D23" i="13"/>
  <c r="D22" i="13"/>
  <c r="D21" i="13"/>
  <c r="D20" i="13"/>
  <c r="D17" i="13"/>
  <c r="D16" i="13"/>
  <c r="D15" i="13"/>
  <c r="D14" i="13"/>
  <c r="D12" i="13"/>
  <c r="D11" i="13"/>
  <c r="D10" i="13"/>
  <c r="D9" i="13"/>
  <c r="D8" i="13"/>
  <c r="D7" i="13"/>
  <c r="C47" i="13"/>
  <c r="C46" i="13"/>
  <c r="C45" i="13"/>
  <c r="C44" i="13"/>
  <c r="C43" i="13"/>
  <c r="C42" i="13"/>
  <c r="C41" i="13"/>
  <c r="C39" i="13"/>
  <c r="C38" i="13"/>
  <c r="C37" i="13"/>
  <c r="C36" i="13"/>
  <c r="C35" i="13"/>
  <c r="C33" i="13"/>
  <c r="C32" i="13"/>
  <c r="C31" i="13"/>
  <c r="C30" i="13"/>
  <c r="C29" i="13"/>
  <c r="C28" i="13"/>
  <c r="C26" i="13"/>
  <c r="C25" i="13"/>
  <c r="C24" i="13"/>
  <c r="C23" i="13"/>
  <c r="C22" i="13"/>
  <c r="C21" i="13"/>
  <c r="C20" i="13"/>
  <c r="C17" i="13"/>
  <c r="C16" i="13"/>
  <c r="C15" i="13"/>
  <c r="C14" i="13"/>
  <c r="C12" i="13"/>
  <c r="C11" i="13"/>
  <c r="C10" i="13"/>
  <c r="C9" i="13"/>
  <c r="C8" i="13"/>
  <c r="C7" i="13"/>
  <c r="B47" i="13"/>
  <c r="B46" i="13"/>
  <c r="B45" i="13"/>
  <c r="B44" i="13"/>
  <c r="B43" i="13"/>
  <c r="B42" i="13"/>
  <c r="B41" i="13"/>
  <c r="B39" i="13"/>
  <c r="B38" i="13"/>
  <c r="B37" i="13"/>
  <c r="B36" i="13"/>
  <c r="B35" i="13"/>
  <c r="B33" i="13"/>
  <c r="B32" i="13"/>
  <c r="B31" i="13"/>
  <c r="B30" i="13"/>
  <c r="B29" i="13"/>
  <c r="B28" i="13"/>
  <c r="B26" i="13"/>
  <c r="B25" i="13"/>
  <c r="B24" i="13"/>
  <c r="B23" i="13"/>
  <c r="B22" i="13"/>
  <c r="B21" i="13"/>
  <c r="B20" i="13"/>
  <c r="B17" i="13"/>
  <c r="B16" i="13"/>
  <c r="B15" i="13"/>
  <c r="B14" i="13"/>
  <c r="B12" i="13"/>
  <c r="B11" i="13"/>
  <c r="B10" i="13"/>
  <c r="B9" i="13"/>
  <c r="B8" i="13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O53" i="14"/>
  <c r="G53" i="14"/>
  <c r="O52" i="14"/>
  <c r="G52" i="14"/>
  <c r="O51" i="14"/>
  <c r="G51" i="14"/>
  <c r="O50" i="14"/>
  <c r="G50" i="14"/>
  <c r="O49" i="14"/>
  <c r="G49" i="14"/>
  <c r="O48" i="14"/>
  <c r="G48" i="14"/>
  <c r="P47" i="14"/>
  <c r="N47" i="14"/>
  <c r="M47" i="14"/>
  <c r="L47" i="14"/>
  <c r="K47" i="14"/>
  <c r="J47" i="14"/>
  <c r="H47" i="14"/>
  <c r="G47" i="14"/>
  <c r="F47" i="14"/>
  <c r="E47" i="14"/>
  <c r="D47" i="14"/>
  <c r="C47" i="14"/>
  <c r="B47" i="14"/>
  <c r="O46" i="14"/>
  <c r="G46" i="14"/>
  <c r="O45" i="14"/>
  <c r="G45" i="14"/>
  <c r="O44" i="14"/>
  <c r="G44" i="14"/>
  <c r="O43" i="14"/>
  <c r="G43" i="14"/>
  <c r="O42" i="14"/>
  <c r="G42" i="14"/>
  <c r="Q41" i="14"/>
  <c r="P41" i="14"/>
  <c r="N41" i="14"/>
  <c r="M41" i="14"/>
  <c r="L41" i="14"/>
  <c r="K41" i="14"/>
  <c r="J41" i="14"/>
  <c r="H41" i="14"/>
  <c r="G41" i="14"/>
  <c r="F41" i="14"/>
  <c r="E41" i="14"/>
  <c r="D41" i="14"/>
  <c r="C41" i="14"/>
  <c r="B41" i="14"/>
  <c r="O40" i="14"/>
  <c r="G40" i="14"/>
  <c r="O39" i="14"/>
  <c r="G39" i="14"/>
  <c r="O38" i="14"/>
  <c r="G38" i="14"/>
  <c r="O37" i="14"/>
  <c r="G37" i="14"/>
  <c r="O36" i="14"/>
  <c r="G36" i="14"/>
  <c r="P35" i="14"/>
  <c r="N35" i="14"/>
  <c r="M35" i="14"/>
  <c r="L35" i="14"/>
  <c r="K35" i="14"/>
  <c r="J35" i="14"/>
  <c r="H35" i="14"/>
  <c r="F35" i="14"/>
  <c r="E35" i="14"/>
  <c r="D35" i="14"/>
  <c r="C35" i="14"/>
  <c r="B35" i="14"/>
  <c r="G35" i="14"/>
  <c r="O34" i="14"/>
  <c r="G34" i="14"/>
  <c r="O33" i="14"/>
  <c r="G33" i="14"/>
  <c r="O32" i="14"/>
  <c r="G32" i="14"/>
  <c r="O31" i="14"/>
  <c r="G31" i="14"/>
  <c r="O30" i="14"/>
  <c r="G30" i="14"/>
  <c r="O29" i="14"/>
  <c r="G29" i="14"/>
  <c r="P28" i="14"/>
  <c r="N28" i="14"/>
  <c r="M28" i="14"/>
  <c r="L28" i="14"/>
  <c r="O28" i="14"/>
  <c r="K28" i="14"/>
  <c r="J28" i="14"/>
  <c r="H28" i="14"/>
  <c r="F28" i="14"/>
  <c r="E28" i="14"/>
  <c r="D28" i="14"/>
  <c r="C28" i="14"/>
  <c r="B28" i="14"/>
  <c r="G28" i="14"/>
  <c r="O27" i="14"/>
  <c r="G27" i="14"/>
  <c r="O26" i="14"/>
  <c r="G26" i="14"/>
  <c r="O25" i="14"/>
  <c r="G25" i="14"/>
  <c r="O24" i="14"/>
  <c r="G24" i="14"/>
  <c r="O23" i="14"/>
  <c r="G23" i="14"/>
  <c r="O22" i="14"/>
  <c r="G22" i="14"/>
  <c r="O21" i="14"/>
  <c r="G21" i="14"/>
  <c r="P20" i="14"/>
  <c r="N20" i="14"/>
  <c r="M20" i="14"/>
  <c r="L20" i="14"/>
  <c r="K20" i="14"/>
  <c r="J20" i="14"/>
  <c r="H20" i="14"/>
  <c r="F20" i="14"/>
  <c r="E20" i="14"/>
  <c r="D20" i="14"/>
  <c r="C20" i="14"/>
  <c r="B20" i="14"/>
  <c r="O19" i="14"/>
  <c r="G19" i="14"/>
  <c r="O18" i="14"/>
  <c r="G18" i="14"/>
  <c r="O17" i="14"/>
  <c r="G17" i="14"/>
  <c r="O16" i="14"/>
  <c r="G16" i="14"/>
  <c r="O14" i="14"/>
  <c r="G14" i="14"/>
  <c r="O13" i="14"/>
  <c r="G13" i="14"/>
  <c r="O12" i="14"/>
  <c r="G12" i="14"/>
  <c r="O11" i="14"/>
  <c r="G11" i="14"/>
  <c r="P10" i="14"/>
  <c r="P15" i="14"/>
  <c r="N10" i="14"/>
  <c r="N15" i="14"/>
  <c r="M10" i="14"/>
  <c r="M15" i="14"/>
  <c r="L10" i="14"/>
  <c r="L15" i="14"/>
  <c r="K10" i="14"/>
  <c r="K15" i="14"/>
  <c r="J10" i="14"/>
  <c r="H10" i="14"/>
  <c r="H15" i="14"/>
  <c r="F10" i="14"/>
  <c r="F15" i="14"/>
  <c r="E10" i="14"/>
  <c r="E15" i="14"/>
  <c r="D10" i="14"/>
  <c r="D15" i="14"/>
  <c r="C10" i="14"/>
  <c r="C15" i="14"/>
  <c r="B10" i="14"/>
  <c r="B15" i="14"/>
  <c r="P47" i="12"/>
  <c r="N47" i="12"/>
  <c r="M47" i="12"/>
  <c r="L47" i="12"/>
  <c r="K47" i="12"/>
  <c r="J47" i="12"/>
  <c r="H47" i="12"/>
  <c r="F47" i="12"/>
  <c r="E47" i="12"/>
  <c r="D47" i="12"/>
  <c r="C47" i="12"/>
  <c r="B47" i="12"/>
  <c r="P46" i="12"/>
  <c r="N46" i="12"/>
  <c r="M46" i="12"/>
  <c r="L46" i="12"/>
  <c r="K46" i="12"/>
  <c r="J46" i="12"/>
  <c r="H46" i="12"/>
  <c r="F46" i="12"/>
  <c r="E46" i="12"/>
  <c r="D46" i="12"/>
  <c r="C46" i="12"/>
  <c r="B46" i="12"/>
  <c r="P44" i="12"/>
  <c r="N44" i="12"/>
  <c r="M44" i="12"/>
  <c r="L44" i="12"/>
  <c r="K44" i="12"/>
  <c r="J44" i="12"/>
  <c r="H44" i="12"/>
  <c r="F44" i="12"/>
  <c r="E44" i="12"/>
  <c r="D44" i="12"/>
  <c r="C44" i="12"/>
  <c r="B44" i="12"/>
  <c r="P43" i="12"/>
  <c r="N43" i="12"/>
  <c r="M43" i="12"/>
  <c r="L43" i="12"/>
  <c r="K43" i="12"/>
  <c r="J43" i="12"/>
  <c r="H43" i="12"/>
  <c r="F43" i="12"/>
  <c r="E43" i="12"/>
  <c r="D43" i="12"/>
  <c r="C43" i="12"/>
  <c r="B43" i="12"/>
  <c r="P42" i="12"/>
  <c r="N42" i="12"/>
  <c r="M42" i="12"/>
  <c r="L42" i="12"/>
  <c r="K42" i="12"/>
  <c r="J42" i="12"/>
  <c r="H42" i="12"/>
  <c r="F42" i="12"/>
  <c r="E42" i="12"/>
  <c r="D42" i="12"/>
  <c r="C42" i="12"/>
  <c r="B42" i="12"/>
  <c r="P41" i="12"/>
  <c r="N41" i="12"/>
  <c r="M41" i="12"/>
  <c r="L41" i="12"/>
  <c r="K41" i="12"/>
  <c r="J41" i="12"/>
  <c r="H41" i="12"/>
  <c r="F41" i="12"/>
  <c r="E41" i="12"/>
  <c r="D41" i="12"/>
  <c r="C41" i="12"/>
  <c r="B41" i="12"/>
  <c r="P38" i="12"/>
  <c r="N38" i="12"/>
  <c r="M38" i="12"/>
  <c r="L38" i="12"/>
  <c r="K38" i="12"/>
  <c r="J38" i="12"/>
  <c r="H38" i="12"/>
  <c r="F38" i="12"/>
  <c r="E38" i="12"/>
  <c r="D38" i="12"/>
  <c r="C38" i="12"/>
  <c r="B38" i="12"/>
  <c r="P37" i="12"/>
  <c r="N37" i="12"/>
  <c r="M37" i="12"/>
  <c r="L37" i="12"/>
  <c r="K37" i="12"/>
  <c r="J37" i="12"/>
  <c r="H37" i="12"/>
  <c r="F37" i="12"/>
  <c r="E37" i="12"/>
  <c r="D37" i="12"/>
  <c r="C37" i="12"/>
  <c r="B37" i="12"/>
  <c r="P36" i="12"/>
  <c r="N36" i="12"/>
  <c r="M36" i="12"/>
  <c r="L36" i="12"/>
  <c r="K36" i="12"/>
  <c r="J36" i="12"/>
  <c r="H36" i="12"/>
  <c r="F36" i="12"/>
  <c r="E36" i="12"/>
  <c r="D36" i="12"/>
  <c r="C36" i="12"/>
  <c r="B36" i="12"/>
  <c r="P35" i="12"/>
  <c r="N35" i="12"/>
  <c r="M35" i="12"/>
  <c r="L35" i="12"/>
  <c r="K35" i="12"/>
  <c r="J35" i="12"/>
  <c r="H35" i="12"/>
  <c r="F35" i="12"/>
  <c r="E35" i="12"/>
  <c r="D35" i="12"/>
  <c r="C35" i="12"/>
  <c r="B35" i="12"/>
  <c r="P32" i="12"/>
  <c r="N32" i="12"/>
  <c r="M32" i="12"/>
  <c r="L32" i="12"/>
  <c r="K32" i="12"/>
  <c r="J32" i="12"/>
  <c r="H32" i="12"/>
  <c r="F32" i="12"/>
  <c r="E32" i="12"/>
  <c r="D32" i="12"/>
  <c r="C32" i="12"/>
  <c r="B32" i="12"/>
  <c r="P31" i="12"/>
  <c r="N31" i="12"/>
  <c r="M31" i="12"/>
  <c r="L31" i="12"/>
  <c r="K31" i="12"/>
  <c r="J31" i="12"/>
  <c r="H31" i="12"/>
  <c r="F31" i="12"/>
  <c r="E31" i="12"/>
  <c r="D31" i="12"/>
  <c r="C31" i="12"/>
  <c r="B31" i="12"/>
  <c r="P30" i="12"/>
  <c r="N30" i="12"/>
  <c r="M30" i="12"/>
  <c r="L30" i="12"/>
  <c r="K30" i="12"/>
  <c r="J30" i="12"/>
  <c r="H30" i="12"/>
  <c r="F30" i="12"/>
  <c r="E30" i="12"/>
  <c r="D30" i="12"/>
  <c r="C30" i="12"/>
  <c r="B30" i="12"/>
  <c r="P29" i="12"/>
  <c r="N29" i="12"/>
  <c r="M29" i="12"/>
  <c r="L29" i="12"/>
  <c r="K29" i="12"/>
  <c r="J29" i="12"/>
  <c r="H29" i="12"/>
  <c r="F29" i="12"/>
  <c r="E29" i="12"/>
  <c r="D29" i="12"/>
  <c r="C29" i="12"/>
  <c r="B29" i="12"/>
  <c r="P28" i="12"/>
  <c r="N28" i="12"/>
  <c r="M28" i="12"/>
  <c r="L28" i="12"/>
  <c r="K28" i="12"/>
  <c r="J28" i="12"/>
  <c r="H28" i="12"/>
  <c r="F28" i="12"/>
  <c r="E28" i="12"/>
  <c r="D28" i="12"/>
  <c r="C28" i="12"/>
  <c r="B28" i="12"/>
  <c r="P25" i="12"/>
  <c r="N25" i="12"/>
  <c r="M25" i="12"/>
  <c r="L25" i="12"/>
  <c r="K25" i="12"/>
  <c r="J25" i="12"/>
  <c r="H25" i="12"/>
  <c r="F25" i="12"/>
  <c r="E25" i="12"/>
  <c r="D25" i="12"/>
  <c r="C25" i="12"/>
  <c r="B25" i="12"/>
  <c r="P24" i="12"/>
  <c r="N24" i="12"/>
  <c r="M24" i="12"/>
  <c r="L24" i="12"/>
  <c r="K24" i="12"/>
  <c r="J24" i="12"/>
  <c r="H24" i="12"/>
  <c r="F24" i="12"/>
  <c r="E24" i="12"/>
  <c r="D24" i="12"/>
  <c r="C24" i="12"/>
  <c r="B24" i="12"/>
  <c r="P23" i="12"/>
  <c r="N23" i="12"/>
  <c r="M23" i="12"/>
  <c r="L23" i="12"/>
  <c r="K23" i="12"/>
  <c r="J23" i="12"/>
  <c r="H23" i="12"/>
  <c r="F23" i="12"/>
  <c r="E23" i="12"/>
  <c r="D23" i="12"/>
  <c r="C23" i="12"/>
  <c r="B23" i="12"/>
  <c r="P22" i="12"/>
  <c r="N22" i="12"/>
  <c r="M22" i="12"/>
  <c r="L22" i="12"/>
  <c r="K22" i="12"/>
  <c r="J22" i="12"/>
  <c r="H22" i="12"/>
  <c r="F22" i="12"/>
  <c r="E22" i="12"/>
  <c r="D22" i="12"/>
  <c r="C22" i="12"/>
  <c r="B22" i="12"/>
  <c r="P21" i="12"/>
  <c r="N21" i="12"/>
  <c r="M21" i="12"/>
  <c r="L21" i="12"/>
  <c r="K21" i="12"/>
  <c r="J21" i="12"/>
  <c r="H21" i="12"/>
  <c r="F21" i="12"/>
  <c r="E21" i="12"/>
  <c r="D21" i="12"/>
  <c r="C21" i="12"/>
  <c r="B21" i="12"/>
  <c r="P20" i="12"/>
  <c r="N20" i="12"/>
  <c r="M20" i="12"/>
  <c r="L20" i="12"/>
  <c r="K20" i="12"/>
  <c r="J20" i="12"/>
  <c r="H20" i="12"/>
  <c r="F20" i="12"/>
  <c r="E20" i="12"/>
  <c r="D20" i="12"/>
  <c r="C20" i="12"/>
  <c r="B20" i="12"/>
  <c r="P16" i="12"/>
  <c r="N16" i="12"/>
  <c r="M16" i="12"/>
  <c r="L16" i="12"/>
  <c r="K16" i="12"/>
  <c r="J16" i="12"/>
  <c r="H16" i="12"/>
  <c r="F16" i="12"/>
  <c r="E16" i="12"/>
  <c r="D16" i="12"/>
  <c r="C16" i="12"/>
  <c r="B16" i="12"/>
  <c r="P15" i="12"/>
  <c r="N15" i="12"/>
  <c r="M15" i="12"/>
  <c r="L15" i="12"/>
  <c r="K15" i="12"/>
  <c r="J15" i="12"/>
  <c r="H15" i="12"/>
  <c r="F15" i="12"/>
  <c r="E15" i="12"/>
  <c r="D15" i="12"/>
  <c r="C15" i="12"/>
  <c r="B15" i="12"/>
  <c r="P14" i="12"/>
  <c r="N14" i="12"/>
  <c r="M14" i="12"/>
  <c r="L14" i="12"/>
  <c r="K14" i="12"/>
  <c r="J14" i="12"/>
  <c r="H14" i="12"/>
  <c r="F14" i="12"/>
  <c r="E14" i="12"/>
  <c r="D14" i="12"/>
  <c r="C14" i="12"/>
  <c r="B14" i="12"/>
  <c r="P11" i="12"/>
  <c r="N11" i="12"/>
  <c r="M11" i="12"/>
  <c r="L11" i="12"/>
  <c r="K11" i="12"/>
  <c r="J11" i="12"/>
  <c r="H11" i="12"/>
  <c r="F11" i="12"/>
  <c r="E11" i="12"/>
  <c r="D11" i="12"/>
  <c r="C11" i="12"/>
  <c r="B11" i="12"/>
  <c r="P10" i="12"/>
  <c r="N10" i="12"/>
  <c r="M10" i="12"/>
  <c r="L10" i="12"/>
  <c r="K10" i="12"/>
  <c r="J10" i="12"/>
  <c r="H10" i="12"/>
  <c r="F10" i="12"/>
  <c r="E10" i="12"/>
  <c r="D10" i="12"/>
  <c r="C10" i="12"/>
  <c r="B10" i="12"/>
  <c r="P9" i="12"/>
  <c r="N9" i="12"/>
  <c r="M9" i="12"/>
  <c r="L9" i="12"/>
  <c r="K9" i="12"/>
  <c r="J9" i="12"/>
  <c r="H9" i="12"/>
  <c r="F9" i="12"/>
  <c r="E9" i="12"/>
  <c r="D9" i="12"/>
  <c r="C9" i="12"/>
  <c r="B9" i="12"/>
  <c r="P8" i="12"/>
  <c r="N8" i="12"/>
  <c r="M8" i="12"/>
  <c r="L8" i="12"/>
  <c r="K8" i="12"/>
  <c r="J8" i="12"/>
  <c r="H8" i="12"/>
  <c r="F8" i="12"/>
  <c r="E8" i="12"/>
  <c r="D8" i="12"/>
  <c r="C8" i="12"/>
  <c r="B8" i="12"/>
  <c r="P41" i="9"/>
  <c r="P39" i="12"/>
  <c r="A56" i="14"/>
  <c r="A64" i="14"/>
  <c r="A72" i="14"/>
  <c r="A80" i="14"/>
  <c r="A88" i="14"/>
  <c r="A96" i="14"/>
  <c r="A104" i="14"/>
  <c r="A112" i="14"/>
  <c r="A120" i="14"/>
  <c r="A128" i="14"/>
  <c r="A136" i="14"/>
  <c r="A144" i="14"/>
  <c r="A152" i="14"/>
  <c r="A50" i="14"/>
  <c r="A45" i="14"/>
  <c r="A30" i="14"/>
  <c r="A24" i="14"/>
  <c r="A11" i="14"/>
  <c r="J5" i="14"/>
  <c r="B5" i="14"/>
  <c r="A57" i="14"/>
  <c r="A65" i="14"/>
  <c r="A73" i="14"/>
  <c r="A81" i="14"/>
  <c r="A89" i="14"/>
  <c r="A97" i="14"/>
  <c r="A105" i="14"/>
  <c r="A113" i="14"/>
  <c r="A121" i="14"/>
  <c r="A129" i="14"/>
  <c r="A137" i="14"/>
  <c r="A145" i="14"/>
  <c r="A153" i="14"/>
  <c r="A51" i="14"/>
  <c r="A46" i="14"/>
  <c r="A31" i="14"/>
  <c r="A25" i="14"/>
  <c r="A12" i="14"/>
  <c r="J6" i="14"/>
  <c r="B6" i="14"/>
  <c r="A58" i="14"/>
  <c r="A66" i="14"/>
  <c r="A74" i="14"/>
  <c r="A82" i="14"/>
  <c r="A90" i="14"/>
  <c r="A98" i="14"/>
  <c r="A106" i="14"/>
  <c r="A114" i="14"/>
  <c r="A122" i="14"/>
  <c r="A130" i="14"/>
  <c r="A138" i="14"/>
  <c r="A146" i="14"/>
  <c r="A154" i="14"/>
  <c r="A52" i="14"/>
  <c r="A36" i="14"/>
  <c r="A32" i="14"/>
  <c r="A26" i="14"/>
  <c r="A13" i="14"/>
  <c r="K6" i="14"/>
  <c r="C6" i="14"/>
  <c r="A59" i="14"/>
  <c r="A67" i="14"/>
  <c r="A75" i="14"/>
  <c r="A83" i="14"/>
  <c r="A91" i="14"/>
  <c r="A99" i="14"/>
  <c r="A107" i="14"/>
  <c r="A115" i="14"/>
  <c r="A123" i="14"/>
  <c r="A131" i="14"/>
  <c r="A139" i="14"/>
  <c r="A147" i="14"/>
  <c r="A155" i="14"/>
  <c r="A53" i="14"/>
  <c r="A37" i="14"/>
  <c r="A33" i="14"/>
  <c r="A27" i="14"/>
  <c r="A14" i="14"/>
  <c r="L6" i="14"/>
  <c r="D6" i="14"/>
  <c r="A60" i="14"/>
  <c r="A68" i="14"/>
  <c r="A76" i="14"/>
  <c r="A84" i="14"/>
  <c r="A92" i="14"/>
  <c r="A100" i="14"/>
  <c r="A108" i="14"/>
  <c r="A116" i="14"/>
  <c r="A124" i="14"/>
  <c r="A132" i="14"/>
  <c r="A140" i="14"/>
  <c r="A148" i="14"/>
  <c r="A156" i="14"/>
  <c r="A48" i="14"/>
  <c r="A38" i="14"/>
  <c r="A34" i="14"/>
  <c r="A16" i="14"/>
  <c r="A8" i="14"/>
  <c r="M6" i="14"/>
  <c r="E6" i="14"/>
  <c r="A61" i="14"/>
  <c r="A69" i="14"/>
  <c r="A77" i="14"/>
  <c r="A85" i="14"/>
  <c r="A93" i="14"/>
  <c r="A101" i="14"/>
  <c r="A109" i="14"/>
  <c r="A117" i="14"/>
  <c r="A125" i="14"/>
  <c r="A133" i="14"/>
  <c r="A141" i="14"/>
  <c r="A149" i="14"/>
  <c r="A157" i="14"/>
  <c r="A42" i="14"/>
  <c r="A39" i="14"/>
  <c r="A21" i="14"/>
  <c r="A17" i="14"/>
  <c r="A9" i="14"/>
  <c r="N6" i="14"/>
  <c r="F6" i="14"/>
  <c r="A62" i="14"/>
  <c r="A70" i="14"/>
  <c r="A78" i="14"/>
  <c r="A86" i="14"/>
  <c r="A94" i="14"/>
  <c r="A102" i="14"/>
  <c r="A110" i="14"/>
  <c r="A118" i="14"/>
  <c r="A126" i="14"/>
  <c r="A134" i="14"/>
  <c r="A142" i="14"/>
  <c r="A150" i="14"/>
  <c r="A158" i="14"/>
  <c r="A43" i="14"/>
  <c r="A40" i="14"/>
  <c r="A22" i="14"/>
  <c r="A18" i="14"/>
  <c r="P6" i="14"/>
  <c r="H6" i="14"/>
  <c r="A2" i="14"/>
  <c r="A63" i="14"/>
  <c r="A71" i="14"/>
  <c r="A79" i="14"/>
  <c r="A87" i="14"/>
  <c r="A95" i="14"/>
  <c r="A103" i="14"/>
  <c r="A111" i="14"/>
  <c r="A119" i="14"/>
  <c r="A127" i="14"/>
  <c r="A135" i="14"/>
  <c r="A143" i="14"/>
  <c r="A151" i="14"/>
  <c r="A159" i="14"/>
  <c r="A44" i="14"/>
  <c r="A29" i="14"/>
  <c r="A23" i="14"/>
  <c r="A19" i="14"/>
  <c r="J4" i="14"/>
  <c r="B4" i="14"/>
  <c r="A1" i="14"/>
  <c r="A56" i="9"/>
  <c r="A64" i="9"/>
  <c r="A72" i="9"/>
  <c r="A80" i="9"/>
  <c r="A88" i="9"/>
  <c r="A96" i="9"/>
  <c r="A104" i="9"/>
  <c r="A112" i="9"/>
  <c r="A120" i="9"/>
  <c r="A128" i="9"/>
  <c r="A136" i="9"/>
  <c r="A144" i="9"/>
  <c r="A152" i="9"/>
  <c r="A50" i="9"/>
  <c r="A30" i="9"/>
  <c r="A24" i="9"/>
  <c r="A11" i="9"/>
  <c r="J5" i="9"/>
  <c r="B6" i="9"/>
  <c r="A57" i="9"/>
  <c r="A65" i="9"/>
  <c r="A73" i="9"/>
  <c r="A81" i="9"/>
  <c r="A89" i="9"/>
  <c r="A97" i="9"/>
  <c r="A105" i="9"/>
  <c r="A113" i="9"/>
  <c r="A121" i="9"/>
  <c r="A129" i="9"/>
  <c r="A137" i="9"/>
  <c r="A145" i="9"/>
  <c r="A153" i="9"/>
  <c r="A51" i="9"/>
  <c r="A46" i="9"/>
  <c r="A31" i="9"/>
  <c r="A25" i="9"/>
  <c r="A12" i="9"/>
  <c r="J6" i="9"/>
  <c r="A58" i="9"/>
  <c r="A66" i="9"/>
  <c r="A74" i="9"/>
  <c r="A82" i="9"/>
  <c r="A90" i="9"/>
  <c r="A98" i="9"/>
  <c r="A106" i="9"/>
  <c r="A114" i="9"/>
  <c r="A122" i="9"/>
  <c r="A130" i="9"/>
  <c r="A138" i="9"/>
  <c r="A146" i="9"/>
  <c r="A154" i="9"/>
  <c r="A52" i="9"/>
  <c r="A36" i="9"/>
  <c r="A32" i="9"/>
  <c r="A26" i="9"/>
  <c r="A13" i="9"/>
  <c r="K6" i="9"/>
  <c r="C6" i="9"/>
  <c r="A59" i="9"/>
  <c r="A67" i="9"/>
  <c r="A75" i="9"/>
  <c r="A83" i="9"/>
  <c r="A91" i="9"/>
  <c r="A99" i="9"/>
  <c r="A107" i="9"/>
  <c r="A115" i="9"/>
  <c r="A123" i="9"/>
  <c r="A131" i="9"/>
  <c r="A139" i="9"/>
  <c r="A147" i="9"/>
  <c r="A155" i="9"/>
  <c r="A53" i="9"/>
  <c r="A37" i="9"/>
  <c r="A33" i="9"/>
  <c r="A27" i="9"/>
  <c r="A14" i="9"/>
  <c r="L6" i="9"/>
  <c r="D6" i="9"/>
  <c r="A38" i="9"/>
  <c r="E6" i="9"/>
  <c r="A60" i="9"/>
  <c r="A68" i="9"/>
  <c r="A76" i="9"/>
  <c r="A84" i="9"/>
  <c r="A92" i="9"/>
  <c r="A100" i="9"/>
  <c r="A108" i="9"/>
  <c r="A116" i="9"/>
  <c r="A124" i="9"/>
  <c r="A132" i="9"/>
  <c r="A140" i="9"/>
  <c r="A148" i="9"/>
  <c r="A156" i="9"/>
  <c r="A48" i="9"/>
  <c r="A34" i="9"/>
  <c r="A16" i="9"/>
  <c r="A8" i="9"/>
  <c r="M6" i="9"/>
  <c r="A61" i="9"/>
  <c r="A69" i="9"/>
  <c r="A77" i="9"/>
  <c r="A85" i="9"/>
  <c r="A93" i="9"/>
  <c r="A101" i="9"/>
  <c r="A109" i="9"/>
  <c r="A117" i="9"/>
  <c r="A125" i="9"/>
  <c r="A133" i="9"/>
  <c r="A141" i="9"/>
  <c r="A149" i="9"/>
  <c r="A157" i="9"/>
  <c r="A42" i="9"/>
  <c r="A39" i="9"/>
  <c r="A21" i="9"/>
  <c r="A17" i="9"/>
  <c r="A9" i="9"/>
  <c r="N6" i="9"/>
  <c r="F6" i="9"/>
  <c r="A62" i="9"/>
  <c r="A70" i="9"/>
  <c r="A78" i="9"/>
  <c r="A86" i="9"/>
  <c r="A94" i="9"/>
  <c r="A102" i="9"/>
  <c r="A110" i="9"/>
  <c r="A118" i="9"/>
  <c r="A126" i="9"/>
  <c r="A134" i="9"/>
  <c r="A142" i="9"/>
  <c r="A150" i="9"/>
  <c r="A158" i="9"/>
  <c r="A43" i="9"/>
  <c r="A40" i="9"/>
  <c r="A22" i="9"/>
  <c r="A18" i="9"/>
  <c r="P6" i="9"/>
  <c r="H6" i="9"/>
  <c r="A2" i="9"/>
  <c r="A63" i="9"/>
  <c r="A71" i="9"/>
  <c r="A79" i="9"/>
  <c r="A87" i="9"/>
  <c r="A95" i="9"/>
  <c r="A103" i="9"/>
  <c r="A111" i="9"/>
  <c r="A119" i="9"/>
  <c r="A127" i="9"/>
  <c r="A135" i="9"/>
  <c r="A143" i="9"/>
  <c r="A151" i="9"/>
  <c r="A159" i="9"/>
  <c r="A44" i="9"/>
  <c r="A29" i="9"/>
  <c r="A23" i="9"/>
  <c r="A19" i="9"/>
  <c r="J4" i="9"/>
  <c r="B4" i="9"/>
  <c r="A1" i="9"/>
  <c r="A45" i="9"/>
  <c r="B5" i="9"/>
  <c r="G15" i="16"/>
  <c r="G12" i="15"/>
  <c r="B12" i="15"/>
  <c r="O35" i="14"/>
  <c r="G20" i="14"/>
  <c r="O10" i="14"/>
  <c r="O20" i="14"/>
  <c r="O47" i="14"/>
  <c r="G10" i="14"/>
  <c r="J15" i="14"/>
  <c r="O15" i="14"/>
  <c r="O41" i="14"/>
  <c r="G15" i="14"/>
  <c r="O11" i="9"/>
  <c r="O8" i="12"/>
  <c r="O12" i="9"/>
  <c r="O9" i="12"/>
  <c r="O13" i="9"/>
  <c r="O10" i="12"/>
  <c r="O14" i="9"/>
  <c r="O11" i="12"/>
  <c r="O16" i="9"/>
  <c r="O17" i="9"/>
  <c r="O14" i="12"/>
  <c r="O18" i="9"/>
  <c r="O15" i="12"/>
  <c r="O19" i="9"/>
  <c r="O16" i="12"/>
  <c r="O21" i="9"/>
  <c r="O22" i="9"/>
  <c r="O20" i="12"/>
  <c r="O23" i="9"/>
  <c r="O21" i="12"/>
  <c r="O24" i="9"/>
  <c r="O22" i="12"/>
  <c r="O26" i="9"/>
  <c r="O24" i="12"/>
  <c r="O25" i="9"/>
  <c r="O23" i="12"/>
  <c r="O27" i="9"/>
  <c r="O25" i="12"/>
  <c r="O29" i="9"/>
  <c r="O30" i="9"/>
  <c r="O28" i="12"/>
  <c r="O31" i="9"/>
  <c r="O29" i="12"/>
  <c r="O32" i="9"/>
  <c r="O30" i="12"/>
  <c r="O33" i="9"/>
  <c r="O31" i="12"/>
  <c r="O34" i="9"/>
  <c r="O32" i="12"/>
  <c r="O36" i="9"/>
  <c r="O37" i="9"/>
  <c r="O35" i="12"/>
  <c r="O38" i="9"/>
  <c r="O36" i="12"/>
  <c r="O39" i="9"/>
  <c r="O37" i="12"/>
  <c r="O40" i="9"/>
  <c r="O38" i="12"/>
  <c r="O42" i="9"/>
  <c r="O43" i="9"/>
  <c r="O41" i="12"/>
  <c r="O44" i="9"/>
  <c r="O42" i="12"/>
  <c r="O45" i="9"/>
  <c r="O43" i="12"/>
  <c r="O46" i="9"/>
  <c r="O44" i="12"/>
  <c r="O48" i="9"/>
  <c r="O49" i="9"/>
  <c r="O50" i="9"/>
  <c r="O51" i="9"/>
  <c r="O52" i="9"/>
  <c r="O53" i="9"/>
  <c r="O47" i="12"/>
  <c r="G17" i="9"/>
  <c r="G14" i="12"/>
  <c r="G18" i="9"/>
  <c r="G15" i="12"/>
  <c r="G19" i="9"/>
  <c r="G16" i="12"/>
  <c r="G21" i="9"/>
  <c r="G22" i="9"/>
  <c r="G20" i="12"/>
  <c r="G23" i="9"/>
  <c r="G21" i="12"/>
  <c r="G24" i="9"/>
  <c r="G22" i="12"/>
  <c r="G26" i="9"/>
  <c r="G24" i="12"/>
  <c r="G25" i="9"/>
  <c r="G23" i="12"/>
  <c r="G27" i="9"/>
  <c r="G25" i="12"/>
  <c r="G29" i="9"/>
  <c r="G30" i="9"/>
  <c r="G28" i="12"/>
  <c r="G31" i="9"/>
  <c r="G29" i="12"/>
  <c r="G32" i="9"/>
  <c r="G30" i="12"/>
  <c r="G33" i="9"/>
  <c r="G31" i="12"/>
  <c r="G34" i="9"/>
  <c r="G32" i="12"/>
  <c r="G36" i="9"/>
  <c r="G37" i="9"/>
  <c r="G35" i="12"/>
  <c r="G38" i="9"/>
  <c r="G36" i="12"/>
  <c r="G39" i="9"/>
  <c r="G37" i="12"/>
  <c r="G40" i="9"/>
  <c r="G38" i="12"/>
  <c r="G42" i="9"/>
  <c r="G43" i="9"/>
  <c r="G41" i="12"/>
  <c r="G44" i="9"/>
  <c r="G42" i="12"/>
  <c r="G45" i="9"/>
  <c r="G43" i="12"/>
  <c r="G46" i="9"/>
  <c r="G44" i="12"/>
  <c r="G48" i="9"/>
  <c r="G49" i="9"/>
  <c r="G50" i="9"/>
  <c r="G51" i="9"/>
  <c r="G52" i="9"/>
  <c r="G53" i="9"/>
  <c r="G47" i="12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" i="9"/>
  <c r="G11" i="9"/>
  <c r="G8" i="12"/>
  <c r="G12" i="9"/>
  <c r="G9" i="12"/>
  <c r="G13" i="9"/>
  <c r="G10" i="12"/>
  <c r="G14" i="9"/>
  <c r="G11" i="12"/>
  <c r="K10" i="9"/>
  <c r="L10" i="9"/>
  <c r="M10" i="9"/>
  <c r="N10" i="9"/>
  <c r="P10" i="9"/>
  <c r="J10" i="9"/>
  <c r="C10" i="9"/>
  <c r="D10" i="9"/>
  <c r="E10" i="9"/>
  <c r="F10" i="9"/>
  <c r="H10" i="9"/>
  <c r="B10" i="9"/>
  <c r="P47" i="9"/>
  <c r="N47" i="9"/>
  <c r="N45" i="12"/>
  <c r="M47" i="9"/>
  <c r="M45" i="12"/>
  <c r="L47" i="9"/>
  <c r="L45" i="12"/>
  <c r="K47" i="9"/>
  <c r="K45" i="12"/>
  <c r="J47" i="9"/>
  <c r="J45" i="12"/>
  <c r="H47" i="9"/>
  <c r="F47" i="9"/>
  <c r="F45" i="12"/>
  <c r="E47" i="9"/>
  <c r="E45" i="12"/>
  <c r="D47" i="9"/>
  <c r="D45" i="12"/>
  <c r="C47" i="9"/>
  <c r="C45" i="12"/>
  <c r="B47" i="9"/>
  <c r="B45" i="12"/>
  <c r="N41" i="9"/>
  <c r="N39" i="12"/>
  <c r="M41" i="9"/>
  <c r="M39" i="12"/>
  <c r="L41" i="9"/>
  <c r="L39" i="12"/>
  <c r="K41" i="9"/>
  <c r="K39" i="12"/>
  <c r="J41" i="9"/>
  <c r="J39" i="12"/>
  <c r="H41" i="9"/>
  <c r="H39" i="12"/>
  <c r="F41" i="9"/>
  <c r="F39" i="12"/>
  <c r="E41" i="9"/>
  <c r="E39" i="12"/>
  <c r="D41" i="9"/>
  <c r="D39" i="12"/>
  <c r="C41" i="9"/>
  <c r="C39" i="12"/>
  <c r="B41" i="9"/>
  <c r="B39" i="12"/>
  <c r="P35" i="9"/>
  <c r="N35" i="9"/>
  <c r="N33" i="12"/>
  <c r="M35" i="9"/>
  <c r="M33" i="12"/>
  <c r="L35" i="9"/>
  <c r="L33" i="12"/>
  <c r="K35" i="9"/>
  <c r="K33" i="12"/>
  <c r="J35" i="9"/>
  <c r="J33" i="12"/>
  <c r="H35" i="9"/>
  <c r="F35" i="9"/>
  <c r="F33" i="12"/>
  <c r="E35" i="9"/>
  <c r="E33" i="12"/>
  <c r="D35" i="9"/>
  <c r="D33" i="12"/>
  <c r="C35" i="9"/>
  <c r="C33" i="12"/>
  <c r="B35" i="9"/>
  <c r="B33" i="12"/>
  <c r="P28" i="9"/>
  <c r="N28" i="9"/>
  <c r="N26" i="12"/>
  <c r="M28" i="9"/>
  <c r="M26" i="12"/>
  <c r="L28" i="9"/>
  <c r="L26" i="12"/>
  <c r="K28" i="9"/>
  <c r="K26" i="12"/>
  <c r="J28" i="9"/>
  <c r="J26" i="12"/>
  <c r="H28" i="9"/>
  <c r="F28" i="9"/>
  <c r="F26" i="12"/>
  <c r="E28" i="9"/>
  <c r="E26" i="12"/>
  <c r="D28" i="9"/>
  <c r="D26" i="12"/>
  <c r="C28" i="9"/>
  <c r="C26" i="12"/>
  <c r="B28" i="9"/>
  <c r="B26" i="12"/>
  <c r="P20" i="9"/>
  <c r="N20" i="9"/>
  <c r="N17" i="12"/>
  <c r="M20" i="9"/>
  <c r="M17" i="12"/>
  <c r="L20" i="9"/>
  <c r="L17" i="12"/>
  <c r="K20" i="9"/>
  <c r="K17" i="12"/>
  <c r="J20" i="9"/>
  <c r="J17" i="12"/>
  <c r="H20" i="9"/>
  <c r="F20" i="9"/>
  <c r="F17" i="12"/>
  <c r="E20" i="9"/>
  <c r="E17" i="12"/>
  <c r="D20" i="9"/>
  <c r="D17" i="12"/>
  <c r="C20" i="9"/>
  <c r="C17" i="12"/>
  <c r="B20" i="9"/>
  <c r="B17" i="12"/>
  <c r="B7" i="11"/>
  <c r="J7" i="11"/>
  <c r="R7" i="11"/>
  <c r="A10" i="11"/>
  <c r="A18" i="11"/>
  <c r="A26" i="11"/>
  <c r="A34" i="11"/>
  <c r="A42" i="11"/>
  <c r="A50" i="11"/>
  <c r="A58" i="11"/>
  <c r="A66" i="11"/>
  <c r="A74" i="11"/>
  <c r="A82" i="11"/>
  <c r="A90" i="11"/>
  <c r="A98" i="11"/>
  <c r="A106" i="11"/>
  <c r="A114" i="11"/>
  <c r="A122" i="11"/>
  <c r="A130" i="11"/>
  <c r="A138" i="11"/>
  <c r="A146" i="11"/>
  <c r="A154" i="11"/>
  <c r="A162" i="11"/>
  <c r="A170" i="11"/>
  <c r="A178" i="11"/>
  <c r="A186" i="11"/>
  <c r="A194" i="11"/>
  <c r="A202" i="11"/>
  <c r="A210" i="11"/>
  <c r="A218" i="11"/>
  <c r="A226" i="11"/>
  <c r="A234" i="11"/>
  <c r="A2" i="11"/>
  <c r="A179" i="11"/>
  <c r="A211" i="11"/>
  <c r="A227" i="11"/>
  <c r="A1" i="11"/>
  <c r="A89" i="11"/>
  <c r="A185" i="11"/>
  <c r="C7" i="11"/>
  <c r="K7" i="11"/>
  <c r="S7" i="11"/>
  <c r="A11" i="11"/>
  <c r="A19" i="11"/>
  <c r="A27" i="11"/>
  <c r="A35" i="11"/>
  <c r="A43" i="11"/>
  <c r="A51" i="11"/>
  <c r="A59" i="11"/>
  <c r="A67" i="11"/>
  <c r="A75" i="11"/>
  <c r="A83" i="11"/>
  <c r="A91" i="11"/>
  <c r="A99" i="11"/>
  <c r="A107" i="11"/>
  <c r="A115" i="11"/>
  <c r="A123" i="11"/>
  <c r="A131" i="11"/>
  <c r="A139" i="11"/>
  <c r="A147" i="11"/>
  <c r="A155" i="11"/>
  <c r="A163" i="11"/>
  <c r="A171" i="11"/>
  <c r="A187" i="11"/>
  <c r="A195" i="11"/>
  <c r="A203" i="11"/>
  <c r="A219" i="11"/>
  <c r="A235" i="11"/>
  <c r="A81" i="11"/>
  <c r="A161" i="11"/>
  <c r="A225" i="11"/>
  <c r="D7" i="11"/>
  <c r="L7" i="11"/>
  <c r="T7" i="11"/>
  <c r="A12" i="11"/>
  <c r="A20" i="11"/>
  <c r="A28" i="11"/>
  <c r="A36" i="11"/>
  <c r="A44" i="11"/>
  <c r="A52" i="11"/>
  <c r="A60" i="11"/>
  <c r="A68" i="11"/>
  <c r="A76" i="11"/>
  <c r="A84" i="11"/>
  <c r="A92" i="11"/>
  <c r="A100" i="11"/>
  <c r="A108" i="11"/>
  <c r="A116" i="11"/>
  <c r="A124" i="11"/>
  <c r="A132" i="11"/>
  <c r="A140" i="11"/>
  <c r="A148" i="11"/>
  <c r="A156" i="11"/>
  <c r="A164" i="11"/>
  <c r="A172" i="11"/>
  <c r="A180" i="11"/>
  <c r="A188" i="11"/>
  <c r="A196" i="11"/>
  <c r="A204" i="11"/>
  <c r="A212" i="11"/>
  <c r="A220" i="11"/>
  <c r="A228" i="11"/>
  <c r="A236" i="11"/>
  <c r="A191" i="11"/>
  <c r="A223" i="11"/>
  <c r="A33" i="11"/>
  <c r="A129" i="11"/>
  <c r="A169" i="11"/>
  <c r="A233" i="11"/>
  <c r="E7" i="11"/>
  <c r="M7" i="11"/>
  <c r="U7" i="11"/>
  <c r="A13" i="11"/>
  <c r="A21" i="11"/>
  <c r="A29" i="11"/>
  <c r="A37" i="11"/>
  <c r="A45" i="11"/>
  <c r="A53" i="11"/>
  <c r="A61" i="11"/>
  <c r="A69" i="11"/>
  <c r="A77" i="11"/>
  <c r="A85" i="11"/>
  <c r="A93" i="11"/>
  <c r="A101" i="11"/>
  <c r="A109" i="11"/>
  <c r="A117" i="11"/>
  <c r="A125" i="11"/>
  <c r="A133" i="11"/>
  <c r="A141" i="11"/>
  <c r="A149" i="11"/>
  <c r="A157" i="11"/>
  <c r="A165" i="11"/>
  <c r="A173" i="11"/>
  <c r="A181" i="11"/>
  <c r="A189" i="11"/>
  <c r="A197" i="11"/>
  <c r="A205" i="11"/>
  <c r="A213" i="11"/>
  <c r="A221" i="11"/>
  <c r="A229" i="11"/>
  <c r="A237" i="11"/>
  <c r="A183" i="11"/>
  <c r="A215" i="11"/>
  <c r="A25" i="11"/>
  <c r="A105" i="11"/>
  <c r="A137" i="11"/>
  <c r="A177" i="11"/>
  <c r="A217" i="11"/>
  <c r="F7" i="11"/>
  <c r="N7" i="11"/>
  <c r="V7" i="11"/>
  <c r="A14" i="11"/>
  <c r="A22" i="11"/>
  <c r="A30" i="11"/>
  <c r="A38" i="11"/>
  <c r="A46" i="11"/>
  <c r="A54" i="11"/>
  <c r="A62" i="11"/>
  <c r="A70" i="11"/>
  <c r="A78" i="11"/>
  <c r="A86" i="11"/>
  <c r="A94" i="11"/>
  <c r="A102" i="11"/>
  <c r="A110" i="11"/>
  <c r="A118" i="11"/>
  <c r="A126" i="11"/>
  <c r="A134" i="11"/>
  <c r="A142" i="11"/>
  <c r="A150" i="11"/>
  <c r="A158" i="11"/>
  <c r="A166" i="11"/>
  <c r="A174" i="11"/>
  <c r="A182" i="11"/>
  <c r="A190" i="11"/>
  <c r="A198" i="11"/>
  <c r="A206" i="11"/>
  <c r="A214" i="11"/>
  <c r="A222" i="11"/>
  <c r="A230" i="11"/>
  <c r="A238" i="11"/>
  <c r="A175" i="11"/>
  <c r="A239" i="11"/>
  <c r="A41" i="11"/>
  <c r="A121" i="11"/>
  <c r="A193" i="11"/>
  <c r="G7" i="11"/>
  <c r="O7" i="11"/>
  <c r="W7" i="11"/>
  <c r="A15" i="11"/>
  <c r="A23" i="11"/>
  <c r="A31" i="11"/>
  <c r="A39" i="11"/>
  <c r="A47" i="11"/>
  <c r="A55" i="11"/>
  <c r="A63" i="11"/>
  <c r="A71" i="11"/>
  <c r="A79" i="11"/>
  <c r="A87" i="11"/>
  <c r="A95" i="11"/>
  <c r="A103" i="11"/>
  <c r="A111" i="11"/>
  <c r="A119" i="11"/>
  <c r="A127" i="11"/>
  <c r="A135" i="11"/>
  <c r="A143" i="11"/>
  <c r="A151" i="11"/>
  <c r="A159" i="11"/>
  <c r="A167" i="11"/>
  <c r="A199" i="11"/>
  <c r="A207" i="11"/>
  <c r="A231" i="11"/>
  <c r="A57" i="11"/>
  <c r="A145" i="11"/>
  <c r="A201" i="11"/>
  <c r="A3" i="11"/>
  <c r="H7" i="11"/>
  <c r="P7" i="11"/>
  <c r="A8" i="11"/>
  <c r="A16" i="11"/>
  <c r="A24" i="11"/>
  <c r="A32" i="11"/>
  <c r="A40" i="11"/>
  <c r="A48" i="11"/>
  <c r="A56" i="11"/>
  <c r="A64" i="11"/>
  <c r="A72" i="11"/>
  <c r="A80" i="11"/>
  <c r="A88" i="11"/>
  <c r="A96" i="11"/>
  <c r="A104" i="11"/>
  <c r="A112" i="11"/>
  <c r="A120" i="11"/>
  <c r="A128" i="11"/>
  <c r="A136" i="11"/>
  <c r="A144" i="11"/>
  <c r="A152" i="11"/>
  <c r="A160" i="11"/>
  <c r="A168" i="11"/>
  <c r="A176" i="11"/>
  <c r="A184" i="11"/>
  <c r="A192" i="11"/>
  <c r="A200" i="11"/>
  <c r="A208" i="11"/>
  <c r="A216" i="11"/>
  <c r="A224" i="11"/>
  <c r="A232" i="11"/>
  <c r="A4" i="11"/>
  <c r="I7" i="11"/>
  <c r="Q7" i="11"/>
  <c r="A9" i="11"/>
  <c r="A17" i="11"/>
  <c r="A49" i="11"/>
  <c r="A65" i="11"/>
  <c r="A73" i="11"/>
  <c r="A97" i="11"/>
  <c r="A113" i="11"/>
  <c r="A153" i="11"/>
  <c r="A209" i="11"/>
  <c r="G28" i="9"/>
  <c r="G26" i="12"/>
  <c r="H26" i="12"/>
  <c r="J7" i="12"/>
  <c r="J15" i="9"/>
  <c r="J12" i="12"/>
  <c r="P7" i="12"/>
  <c r="P15" i="9"/>
  <c r="P12" i="12"/>
  <c r="O20" i="9"/>
  <c r="O17" i="12"/>
  <c r="P17" i="12"/>
  <c r="O35" i="9"/>
  <c r="O33" i="12"/>
  <c r="P33" i="12"/>
  <c r="B15" i="9"/>
  <c r="B12" i="12"/>
  <c r="B7" i="12"/>
  <c r="N15" i="9"/>
  <c r="N12" i="12"/>
  <c r="N7" i="12"/>
  <c r="G47" i="9"/>
  <c r="G45" i="12"/>
  <c r="H45" i="12"/>
  <c r="G20" i="9"/>
  <c r="G17" i="12"/>
  <c r="H17" i="12"/>
  <c r="G35" i="9"/>
  <c r="G33" i="12"/>
  <c r="H33" i="12"/>
  <c r="F15" i="9"/>
  <c r="F12" i="12"/>
  <c r="F7" i="12"/>
  <c r="L15" i="9"/>
  <c r="L12" i="12"/>
  <c r="L7" i="12"/>
  <c r="O47" i="9"/>
  <c r="O45" i="12"/>
  <c r="P45" i="12"/>
  <c r="E15" i="9"/>
  <c r="E12" i="12"/>
  <c r="E7" i="12"/>
  <c r="K7" i="12"/>
  <c r="K15" i="9"/>
  <c r="K12" i="12"/>
  <c r="H15" i="9"/>
  <c r="H7" i="12"/>
  <c r="O41" i="9"/>
  <c r="O39" i="12"/>
  <c r="O28" i="9"/>
  <c r="O26" i="12"/>
  <c r="P26" i="12"/>
  <c r="D15" i="9"/>
  <c r="D12" i="12"/>
  <c r="D7" i="12"/>
  <c r="G46" i="12"/>
  <c r="G41" i="9"/>
  <c r="G39" i="12"/>
  <c r="M15" i="9"/>
  <c r="M12" i="12"/>
  <c r="M7" i="12"/>
  <c r="C15" i="9"/>
  <c r="C12" i="12"/>
  <c r="C7" i="12"/>
  <c r="O46" i="12"/>
  <c r="O10" i="9"/>
  <c r="O7" i="12"/>
  <c r="G10" i="9"/>
  <c r="G7" i="12"/>
  <c r="G15" i="9"/>
  <c r="G12" i="12"/>
  <c r="H12" i="12"/>
  <c r="O15" i="9"/>
  <c r="O12" i="12"/>
  <c r="Q41" i="9"/>
  <c r="J46" i="7"/>
  <c r="J47" i="7"/>
  <c r="G47" i="7"/>
  <c r="G46" i="7"/>
  <c r="E47" i="7"/>
  <c r="D47" i="7"/>
  <c r="G47" i="6"/>
  <c r="G46" i="6"/>
</calcChain>
</file>

<file path=xl/sharedStrings.xml><?xml version="1.0" encoding="utf-8"?>
<sst xmlns="http://schemas.openxmlformats.org/spreadsheetml/2006/main" count="527" uniqueCount="68">
  <si>
    <t>China</t>
  </si>
  <si>
    <t>LAMERA</t>
  </si>
  <si>
    <t>Other</t>
  </si>
  <si>
    <t>United States</t>
  </si>
  <si>
    <t>Asia Pacific including Japan</t>
  </si>
  <si>
    <t>Europe and Canada</t>
  </si>
  <si>
    <t>Total</t>
  </si>
  <si>
    <t>Women's Health</t>
  </si>
  <si>
    <t>NuvaRing</t>
  </si>
  <si>
    <t>Follistim AQ</t>
  </si>
  <si>
    <t>Cerazette</t>
  </si>
  <si>
    <t>Renflexis</t>
  </si>
  <si>
    <t>Biosimilars</t>
  </si>
  <si>
    <t>Ontruzant</t>
  </si>
  <si>
    <t>Brenzys</t>
  </si>
  <si>
    <t>Zetia</t>
  </si>
  <si>
    <t>Vytorin</t>
  </si>
  <si>
    <t>Atozet</t>
  </si>
  <si>
    <t>Rosuzet</t>
  </si>
  <si>
    <t>Cozaar/Hyzaar</t>
  </si>
  <si>
    <t>Zocor</t>
  </si>
  <si>
    <t>Singulair</t>
  </si>
  <si>
    <t>Nasonex</t>
  </si>
  <si>
    <t>Dulera</t>
  </si>
  <si>
    <t>Clarinex</t>
  </si>
  <si>
    <t>Asmanex</t>
  </si>
  <si>
    <t>Arcoxia</t>
  </si>
  <si>
    <t>Fosamax</t>
  </si>
  <si>
    <t>Diprospan</t>
  </si>
  <si>
    <t>Diprosone</t>
  </si>
  <si>
    <t>Proscar</t>
  </si>
  <si>
    <t>Propecia</t>
  </si>
  <si>
    <t>Remeron</t>
  </si>
  <si>
    <t>Sinemet</t>
  </si>
  <si>
    <t>Established Brands</t>
  </si>
  <si>
    <t>Cardiovascular</t>
  </si>
  <si>
    <t>Respiratory</t>
  </si>
  <si>
    <t>Non-Opioid Pain, Bone and Dermatology</t>
  </si>
  <si>
    <t>Three Months Ended March 31,</t>
  </si>
  <si>
    <t>Organon Revenue by Region</t>
  </si>
  <si>
    <t>Total sales</t>
  </si>
  <si>
    <t>U.S. plus the international regions may not equal total due to rounding.</t>
  </si>
  <si>
    <r>
      <rPr>
        <i/>
        <vertAlign val="superscript"/>
        <sz val="9"/>
        <color theme="1"/>
        <rFont val="Times New Roman"/>
        <family val="1"/>
      </rPr>
      <t xml:space="preserve">(1) </t>
    </r>
    <r>
      <rPr>
        <i/>
        <sz val="9"/>
        <color theme="1"/>
        <rFont val="Times New Roman"/>
        <family val="1"/>
      </rPr>
      <t>Includes sales of products not listed separately. Revenue from an arrangement for the sale of generic etonogestrel/ethinyl estradiol vaginal ring is included in Other Women's Health.</t>
    </r>
  </si>
  <si>
    <r>
      <rPr>
        <i/>
        <vertAlign val="superscript"/>
        <sz val="9"/>
        <color theme="1"/>
        <rFont val="Times New Roman"/>
        <family val="1"/>
      </rPr>
      <t xml:space="preserve">(2) </t>
    </r>
    <r>
      <rPr>
        <i/>
        <sz val="9"/>
        <color theme="1"/>
        <rFont val="Times New Roman"/>
        <family val="1"/>
      </rPr>
      <t>Includes allocated amounts from revenue hedging activities and manufacturing sales to Merck and third parties.</t>
    </r>
  </si>
  <si>
    <r>
      <t>Other</t>
    </r>
    <r>
      <rPr>
        <vertAlign val="superscript"/>
        <sz val="9"/>
        <rFont val="Times New Roman"/>
        <family val="1"/>
      </rPr>
      <t xml:space="preserve"> </t>
    </r>
    <r>
      <rPr>
        <i/>
        <vertAlign val="superscript"/>
        <sz val="9"/>
        <rFont val="Times New Roman"/>
        <family val="1"/>
      </rPr>
      <t>(1)</t>
    </r>
  </si>
  <si>
    <r>
      <t>Other</t>
    </r>
    <r>
      <rPr>
        <i/>
        <vertAlign val="superscript"/>
        <sz val="9"/>
        <rFont val="Times New Roman"/>
        <family val="1"/>
      </rPr>
      <t>(2)</t>
    </r>
  </si>
  <si>
    <r>
      <t>Other Non-Opioid Pain, Bone and Dermatology</t>
    </r>
    <r>
      <rPr>
        <i/>
        <vertAlign val="superscript"/>
        <sz val="9"/>
        <rFont val="Times New Roman"/>
        <family val="1"/>
      </rPr>
      <t>(1)</t>
    </r>
  </si>
  <si>
    <r>
      <t>Other Respiratory</t>
    </r>
    <r>
      <rPr>
        <i/>
        <vertAlign val="superscript"/>
        <sz val="9"/>
        <color theme="1"/>
        <rFont val="Times New Roman"/>
        <family val="1"/>
      </rPr>
      <t>(1)</t>
    </r>
  </si>
  <si>
    <r>
      <t>Other Cardiovascular</t>
    </r>
    <r>
      <rPr>
        <i/>
        <vertAlign val="superscript"/>
        <sz val="9"/>
        <rFont val="Times New Roman"/>
        <family val="1"/>
      </rPr>
      <t>(1)</t>
    </r>
  </si>
  <si>
    <r>
      <t>Other Biosimilars</t>
    </r>
    <r>
      <rPr>
        <i/>
        <vertAlign val="superscript"/>
        <sz val="9"/>
        <color theme="1"/>
        <rFont val="Times New Roman"/>
        <family val="1"/>
      </rPr>
      <t>(1)</t>
    </r>
  </si>
  <si>
    <r>
      <t>Other Women's Health</t>
    </r>
    <r>
      <rPr>
        <i/>
        <vertAlign val="superscript"/>
        <sz val="9"/>
        <rFont val="Times New Roman"/>
        <family val="1"/>
      </rPr>
      <t>(1)</t>
    </r>
  </si>
  <si>
    <t>Nexplanon/Implanon NXT</t>
  </si>
  <si>
    <t>Ganirelix Acetate</t>
  </si>
  <si>
    <t>Three Months Ended June 30,</t>
  </si>
  <si>
    <t>Three Months Ended September 30,</t>
  </si>
  <si>
    <t>Other WH</t>
  </si>
  <si>
    <t>Other BS</t>
  </si>
  <si>
    <t>Other CV</t>
  </si>
  <si>
    <t>Other resp</t>
  </si>
  <si>
    <t xml:space="preserve">Other </t>
  </si>
  <si>
    <t>Twelve Months Ended December 31,</t>
  </si>
  <si>
    <t>Three Months Ended December 31,</t>
  </si>
  <si>
    <t>Aybintio</t>
  </si>
  <si>
    <t>Hadlima</t>
  </si>
  <si>
    <t>Check:</t>
  </si>
  <si>
    <t>Marvelon/Mercilon</t>
  </si>
  <si>
    <t xml:space="preserve">           -</t>
  </si>
  <si>
    <r>
      <rPr>
        <b/>
        <sz val="9"/>
        <color theme="1"/>
        <rFont val="Times New Roman"/>
        <family val="1"/>
      </rPr>
      <t>$</t>
    </r>
    <r>
      <rPr>
        <sz val="9"/>
        <color theme="1"/>
        <rFont val="Times New Roman"/>
        <family val="1"/>
      </rPr>
      <t xml:space="preserve">             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</si>
</sst>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00000000000_);_(&quot;$&quot;* \(#,##0.0000000000000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vertAlign val="superscript"/>
      <sz val="9"/>
      <name val="Times New Roman"/>
      <family val="1"/>
    </font>
    <font>
      <i/>
      <vertAlign val="superscript"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2"/>
      <name val="Times New Roman"/>
      <family val="1"/>
    </font>
    <font>
      <b/>
      <sz val="9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0177"/>
        <bgColor indexed="64"/>
      </patternFill>
    </fill>
    <fill>
      <patternFill patternType="solid">
        <fgColor rgb="FF1B4298"/>
        <bgColor indexed="64"/>
      </patternFill>
    </fill>
    <fill>
      <patternFill patternType="solid">
        <fgColor rgb="FF54B948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 applyAlignment="1">
      <alignment horizontal="left" indent="2"/>
    </xf>
    <xf numFmtId="164" fontId="3" fillId="0" borderId="0" xfId="1" applyNumberFormat="1" applyFont="1"/>
    <xf numFmtId="164" fontId="3" fillId="2" borderId="0" xfId="1" applyNumberFormat="1" applyFont="1" applyFill="1"/>
    <xf numFmtId="0" fontId="5" fillId="0" borderId="0" xfId="0" applyFont="1" applyAlignment="1">
      <alignment horizontal="left" indent="2"/>
    </xf>
    <xf numFmtId="0" fontId="5" fillId="0" borderId="0" xfId="0" applyFont="1"/>
    <xf numFmtId="0" fontId="6" fillId="0" borderId="0" xfId="0" applyFont="1" applyAlignment="1">
      <alignment horizontal="left" indent="1"/>
    </xf>
    <xf numFmtId="164" fontId="3" fillId="0" borderId="0" xfId="1" applyNumberFormat="1" applyFont="1" applyBorder="1"/>
    <xf numFmtId="164" fontId="3" fillId="2" borderId="0" xfId="1" applyNumberFormat="1" applyFont="1" applyFill="1" applyBorder="1"/>
    <xf numFmtId="0" fontId="5" fillId="0" borderId="0" xfId="0" applyFont="1" applyAlignment="1">
      <alignment horizontal="left"/>
    </xf>
    <xf numFmtId="0" fontId="7" fillId="0" borderId="0" xfId="0" applyFont="1"/>
    <xf numFmtId="164" fontId="2" fillId="0" borderId="0" xfId="1" applyNumberFormat="1" applyFont="1"/>
    <xf numFmtId="164" fontId="2" fillId="2" borderId="0" xfId="1" applyNumberFormat="1" applyFont="1" applyFill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5" fontId="2" fillId="0" borderId="0" xfId="2" applyNumberFormat="1" applyFont="1"/>
    <xf numFmtId="165" fontId="2" fillId="2" borderId="0" xfId="2" applyNumberFormat="1" applyFont="1" applyFill="1"/>
    <xf numFmtId="165" fontId="3" fillId="0" borderId="0" xfId="2" applyNumberFormat="1" applyFont="1"/>
    <xf numFmtId="165" fontId="3" fillId="2" borderId="0" xfId="2" applyNumberFormat="1" applyFont="1" applyFill="1"/>
    <xf numFmtId="164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/>
    <xf numFmtId="165" fontId="2" fillId="0" borderId="3" xfId="2" applyNumberFormat="1" applyFont="1" applyBorder="1"/>
    <xf numFmtId="165" fontId="2" fillId="2" borderId="3" xfId="2" applyNumberFormat="1" applyFont="1" applyFill="1" applyBorder="1"/>
    <xf numFmtId="165" fontId="3" fillId="0" borderId="3" xfId="2" applyNumberFormat="1" applyFont="1" applyBorder="1"/>
    <xf numFmtId="164" fontId="0" fillId="0" borderId="0" xfId="1" applyNumberFormat="1" applyFont="1"/>
    <xf numFmtId="0" fontId="0" fillId="0" borderId="0" xfId="1" applyNumberFormat="1" applyFont="1"/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164" fontId="0" fillId="3" borderId="0" xfId="1" applyNumberFormat="1" applyFont="1" applyFill="1"/>
    <xf numFmtId="0" fontId="0" fillId="3" borderId="0" xfId="0" applyFill="1"/>
    <xf numFmtId="0" fontId="11" fillId="0" borderId="0" xfId="1" applyNumberFormat="1" applyFont="1"/>
    <xf numFmtId="164" fontId="11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3" borderId="0" xfId="0" applyNumberFormat="1" applyFill="1" applyAlignment="1"/>
    <xf numFmtId="0" fontId="0" fillId="0" borderId="0" xfId="0" applyNumberFormat="1" applyAlignment="1"/>
    <xf numFmtId="0" fontId="0" fillId="0" borderId="0" xfId="0" applyNumberFormat="1" applyAlignment="1">
      <alignment horizontal="left" indent="5"/>
    </xf>
    <xf numFmtId="0" fontId="0" fillId="0" borderId="0" xfId="0" applyNumberFormat="1" applyAlignment="1">
      <alignment horizontal="left" indent="4"/>
    </xf>
    <xf numFmtId="0" fontId="0" fillId="3" borderId="0" xfId="0" applyNumberFormat="1" applyFill="1" applyAlignment="1">
      <alignment horizontal="left" indent="2"/>
    </xf>
    <xf numFmtId="0" fontId="0" fillId="0" borderId="0" xfId="0" applyNumberFormat="1" applyAlignment="1">
      <alignment horizontal="left" indent="2"/>
    </xf>
    <xf numFmtId="0" fontId="0" fillId="0" borderId="0" xfId="0" applyNumberFormat="1" applyAlignment="1">
      <alignment horizontal="left" indent="6"/>
    </xf>
    <xf numFmtId="0" fontId="0" fillId="3" borderId="0" xfId="0" applyNumberFormat="1" applyFill="1" applyAlignment="1">
      <alignment horizontal="left" indent="3"/>
    </xf>
    <xf numFmtId="0" fontId="0" fillId="0" borderId="0" xfId="0" applyNumberFormat="1" applyAlignment="1">
      <alignment horizontal="left" indent="3"/>
    </xf>
    <xf numFmtId="0" fontId="0" fillId="3" borderId="0" xfId="0" applyNumberFormat="1" applyFill="1" applyAlignment="1">
      <alignment horizontal="left" indent="1"/>
    </xf>
    <xf numFmtId="0" fontId="0" fillId="0" borderId="0" xfId="0" applyNumberFormat="1" applyAlignment="1">
      <alignment horizontal="left" indent="1"/>
    </xf>
    <xf numFmtId="0" fontId="0" fillId="0" borderId="0" xfId="0" applyNumberFormat="1" applyAlignment="1">
      <alignment horizontal="left" indent="7"/>
    </xf>
    <xf numFmtId="164" fontId="0" fillId="0" borderId="0" xfId="1" applyNumberFormat="1" applyFont="1" applyAlignment="1"/>
    <xf numFmtId="0" fontId="0" fillId="4" borderId="4" xfId="1" applyNumberFormat="1" applyFont="1" applyFill="1" applyBorder="1" applyAlignment="1"/>
    <xf numFmtId="0" fontId="11" fillId="5" borderId="4" xfId="0" applyNumberFormat="1" applyFont="1" applyFill="1" applyBorder="1"/>
    <xf numFmtId="0" fontId="0" fillId="0" borderId="0" xfId="0" applyNumberFormat="1" applyFont="1" applyAlignment="1">
      <alignment horizontal="left" indent="5"/>
    </xf>
    <xf numFmtId="164" fontId="0" fillId="0" borderId="0" xfId="0" applyNumberFormat="1"/>
    <xf numFmtId="164" fontId="0" fillId="3" borderId="0" xfId="1" applyNumberFormat="1" applyFont="1" applyFill="1" applyAlignment="1"/>
    <xf numFmtId="0" fontId="11" fillId="6" borderId="4" xfId="1" applyNumberFormat="1" applyFont="1" applyFill="1" applyBorder="1"/>
    <xf numFmtId="0" fontId="11" fillId="6" borderId="4" xfId="0" applyNumberFormat="1" applyFont="1" applyFill="1" applyBorder="1"/>
    <xf numFmtId="0" fontId="3" fillId="0" borderId="0" xfId="0" applyFont="1" applyFill="1" applyAlignment="1">
      <alignment horizontal="left" indent="2"/>
    </xf>
    <xf numFmtId="165" fontId="3" fillId="0" borderId="0" xfId="0" applyNumberFormat="1" applyFont="1"/>
    <xf numFmtId="166" fontId="3" fillId="0" borderId="0" xfId="0" applyNumberFormat="1" applyFont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5" fontId="2" fillId="0" borderId="0" xfId="2" applyNumberFormat="1" applyFont="1" applyFill="1"/>
    <xf numFmtId="164" fontId="2" fillId="0" borderId="0" xfId="1" applyNumberFormat="1" applyFont="1" applyFill="1"/>
    <xf numFmtId="164" fontId="2" fillId="0" borderId="0" xfId="1" applyNumberFormat="1" applyFont="1" applyFill="1" applyBorder="1"/>
    <xf numFmtId="165" fontId="2" fillId="0" borderId="0" xfId="2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/>
    <xf numFmtId="165" fontId="2" fillId="0" borderId="0" xfId="2" applyNumberFormat="1" applyFont="1" applyAlignment="1">
      <alignment horizontal="center"/>
    </xf>
    <xf numFmtId="0" fontId="2" fillId="7" borderId="0" xfId="0" applyFont="1" applyFill="1"/>
    <xf numFmtId="164" fontId="2" fillId="7" borderId="0" xfId="0" applyNumberFormat="1" applyFont="1" applyFill="1"/>
    <xf numFmtId="164" fontId="2" fillId="8" borderId="0" xfId="1" applyNumberFormat="1" applyFont="1" applyFill="1"/>
    <xf numFmtId="0" fontId="5" fillId="8" borderId="0" xfId="0" applyFont="1" applyFill="1"/>
    <xf numFmtId="164" fontId="3" fillId="8" borderId="0" xfId="1" applyNumberFormat="1" applyFont="1" applyFill="1"/>
    <xf numFmtId="164" fontId="2" fillId="9" borderId="0" xfId="1" applyNumberFormat="1" applyFont="1" applyFill="1"/>
    <xf numFmtId="0" fontId="3" fillId="9" borderId="0" xfId="0" applyFont="1" applyFill="1"/>
    <xf numFmtId="164" fontId="3" fillId="9" borderId="0" xfId="1" applyNumberFormat="1" applyFont="1" applyFill="1"/>
    <xf numFmtId="164" fontId="2" fillId="9" borderId="0" xfId="1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164" fontId="3" fillId="9" borderId="0" xfId="1" applyNumberFormat="1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8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13" fillId="8" borderId="0" xfId="0" applyFont="1" applyFill="1" applyAlignment="1">
      <alignment horizontal="left"/>
    </xf>
    <xf numFmtId="0" fontId="6" fillId="10" borderId="0" xfId="0" applyFont="1" applyFill="1" applyAlignment="1">
      <alignment horizontal="left" indent="1"/>
    </xf>
    <xf numFmtId="164" fontId="2" fillId="10" borderId="0" xfId="1" applyNumberFormat="1" applyFont="1" applyFill="1"/>
    <xf numFmtId="0" fontId="5" fillId="10" borderId="0" xfId="0" applyFont="1" applyFill="1"/>
    <xf numFmtId="164" fontId="3" fillId="10" borderId="0" xfId="1" applyNumberFormat="1" applyFont="1" applyFill="1"/>
    <xf numFmtId="165" fontId="3" fillId="10" borderId="0" xfId="0" applyNumberFormat="1" applyFont="1" applyFill="1"/>
    <xf numFmtId="0" fontId="3" fillId="1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54B948"/>
      <color rgb="FF1B4298"/>
      <color rgb="FFE20177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22529" name="ConnectionDescriptorsInfotb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2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22530" name="MultipleReportManagerInfotb1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2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22531" name="FPMExcelClientSheetOptionstb1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2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22532" name="AnalyzerDynReport000tb1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3" name="ConnectionDescriptorsInfotb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4" name="MultipleReportManagerInfotb1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5" name="FPMExcelClientSheetOptionstb1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6" name="AnalyzerDynReport000tb1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1" name="ConnectionDescriptorsInfotb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2" name="MultipleReportManagerInfotb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3" name="FPMExcelClientSheetOptionstb1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4" name="AnalyzerDynReport000tb1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69" name="FPMExcelClientSheetOptionstb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B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0" name="ConnectionDescriptorsInfotb1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B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1" name="MultipleReportManagerInfotb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B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2" name="AnalyzerDynReport000tb1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B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NT/Profiles/graykev/Local%20Settings/Temporary%20Internet%20Files/OLK35/STD%20COST%20PROD%20HANDO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Itsiagou/DSR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Winiarsk/My%20Documents/Temp/WHHM%20-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view.merck.com/ARTHUR/FORECAST/PED_PV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DOWS/TEMP/CRX_SLIDEs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HHD EUROPE"/>
      <sheetName val="USHH"/>
      <sheetName val="ASIAPACIFIC"/>
      <sheetName val="MVD"/>
      <sheetName val="BJK form"/>
      <sheetName val="new BJK form"/>
      <sheetName val="bjk-3"/>
      <sheetName val="product"/>
      <sheetName val="comments"/>
      <sheetName val="Sheet2"/>
      <sheetName val="List"/>
      <sheetName val="Cover Page"/>
      <sheetName val="Control (2)"/>
      <sheetName val="POSITION STATUS DESCRIPTIONS"/>
      <sheetName val="(MayFCST)XQ제형 축소 risk"/>
      <sheetName val="STD COST PROD HANDOFF"/>
      <sheetName val="Data"/>
      <sheetName val="P&amp;L Oct LRP Retrieve"/>
      <sheetName val="Sales To"/>
      <sheetName val="exNS month"/>
      <sheetName val="inNS month"/>
      <sheetName val="Uin recalc"/>
      <sheetName val="WS u recalc"/>
      <sheetName val="Instruction"/>
      <sheetName val="Market List"/>
      <sheetName val="Sales List"/>
      <sheetName val="Control Sheet"/>
      <sheetName val="par"/>
      <sheetName val="Drop Down Selections"/>
      <sheetName val="New Dorthe Summary by Country"/>
      <sheetName val="DropDowns"/>
      <sheetName val="BKKPRATE"/>
      <sheetName val="Slide31B"/>
      <sheetName val="BPC Retrieve"/>
      <sheetName val="Paramètres"/>
      <sheetName val="Drop Downs"/>
      <sheetName val="Brand list"/>
      <sheetName val="MHHD_EUROPE"/>
      <sheetName val="BJK_form"/>
      <sheetName val="new_BJK_form"/>
      <sheetName val="Cover_Page"/>
      <sheetName val="Control_(2)"/>
      <sheetName val="POSITION_STATUS_DESCRIPTIONS"/>
      <sheetName val="(MayFCST)XQ제형_축소_risk"/>
      <sheetName val="STD_COST_PROD_HANDOFF"/>
      <sheetName val="P&amp;L_Oct_LRP_Retrieve"/>
      <sheetName val="Control_Sheet"/>
      <sheetName val="Drop_Down_Selections"/>
      <sheetName val="Market_List"/>
      <sheetName val="Sales_List"/>
      <sheetName val="Sales_To"/>
      <sheetName val="exNS_month"/>
      <sheetName val="inNS_month"/>
      <sheetName val="Uin_recalc"/>
      <sheetName val="WS_u_recalc"/>
      <sheetName val="New_Dorthe_Summary_by_Country"/>
      <sheetName val="BPC_Retrieve"/>
      <sheetName val="Drop_Downs"/>
      <sheetName val="Drop down options"/>
      <sheetName val="실제IMS4Q MayFC"/>
      <sheetName val="Unit1"/>
      <sheetName val="Paramete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-in"/>
      <sheetName val="REPORT"/>
      <sheetName val="KPIs"/>
      <sheetName val="Plan"/>
      <sheetName val="LE"/>
      <sheetName val="Pr.Y."/>
      <sheetName val="YTD-ACT"/>
      <sheetName val="BOBU"/>
      <sheetName val="PPBU"/>
      <sheetName val="STumor"/>
      <sheetName val="Virology"/>
      <sheetName val="HCBU"/>
      <sheetName val="Cardiology"/>
      <sheetName val="IBU"/>
    </sheetNames>
    <sheetDataSet>
      <sheetData sheetId="0" refreshError="1">
        <row r="44">
          <cell r="C44">
            <v>1</v>
          </cell>
          <cell r="D44">
            <v>0</v>
          </cell>
          <cell r="E44" t="e">
            <v>#REF!</v>
          </cell>
        </row>
        <row r="45">
          <cell r="D45">
            <v>0</v>
          </cell>
          <cell r="E45" t="e">
            <v>#REF!</v>
          </cell>
        </row>
        <row r="46">
          <cell r="D46">
            <v>0</v>
          </cell>
          <cell r="E46" t="e">
            <v>#REF!</v>
          </cell>
        </row>
        <row r="47">
          <cell r="D47">
            <v>0</v>
          </cell>
          <cell r="E47" t="e">
            <v>#REF!</v>
          </cell>
        </row>
        <row r="48">
          <cell r="D48">
            <v>0</v>
          </cell>
          <cell r="E48" t="e">
            <v>#REF!</v>
          </cell>
        </row>
        <row r="49">
          <cell r="D49">
            <v>0</v>
          </cell>
          <cell r="E49" t="e">
            <v>#REF!</v>
          </cell>
        </row>
        <row r="50">
          <cell r="D50">
            <v>0</v>
          </cell>
          <cell r="E50" t="e">
            <v>#REF!</v>
          </cell>
        </row>
        <row r="51">
          <cell r="D51">
            <v>0</v>
          </cell>
          <cell r="E51" t="e">
            <v>#REF!</v>
          </cell>
        </row>
        <row r="52">
          <cell r="D52">
            <v>0</v>
          </cell>
          <cell r="E52" t="e">
            <v>#REF!</v>
          </cell>
        </row>
        <row r="53">
          <cell r="D53">
            <v>0</v>
          </cell>
          <cell r="E53" t="e">
            <v>#REF!</v>
          </cell>
        </row>
        <row r="54">
          <cell r="D54">
            <v>0</v>
          </cell>
          <cell r="E54" t="e">
            <v>#REF!</v>
          </cell>
        </row>
        <row r="55">
          <cell r="D55">
            <v>0</v>
          </cell>
          <cell r="E55" t="e">
            <v>#REF!</v>
          </cell>
        </row>
        <row r="56">
          <cell r="D56">
            <v>0</v>
          </cell>
          <cell r="E56" t="e">
            <v>#REF!</v>
          </cell>
        </row>
        <row r="57">
          <cell r="D57">
            <v>0</v>
          </cell>
          <cell r="E57" t="e">
            <v>#REF!</v>
          </cell>
        </row>
        <row r="58">
          <cell r="D58">
            <v>0</v>
          </cell>
          <cell r="E58" t="e">
            <v>#REF!</v>
          </cell>
        </row>
        <row r="59">
          <cell r="D59">
            <v>0</v>
          </cell>
          <cell r="E59" t="e">
            <v>#REF!</v>
          </cell>
        </row>
        <row r="60">
          <cell r="D60">
            <v>0</v>
          </cell>
          <cell r="E60" t="e">
            <v>#REF!</v>
          </cell>
        </row>
        <row r="61">
          <cell r="D61">
            <v>0</v>
          </cell>
          <cell r="E61" t="e">
            <v>#REF!</v>
          </cell>
        </row>
        <row r="62">
          <cell r="D62">
            <v>0</v>
          </cell>
          <cell r="E62" t="e">
            <v>#REF!</v>
          </cell>
        </row>
        <row r="63">
          <cell r="D63">
            <v>0</v>
          </cell>
          <cell r="E63" t="e">
            <v>#REF!</v>
          </cell>
        </row>
        <row r="64">
          <cell r="D64">
            <v>0</v>
          </cell>
          <cell r="E64" t="e">
            <v>#REF!</v>
          </cell>
        </row>
        <row r="65">
          <cell r="D65">
            <v>0</v>
          </cell>
          <cell r="E65" t="e">
            <v>#REF!</v>
          </cell>
        </row>
        <row r="66">
          <cell r="E66" t="e">
            <v>#REF!</v>
          </cell>
        </row>
        <row r="67">
          <cell r="D67" t="str">
            <v xml:space="preserve"> </v>
          </cell>
          <cell r="E67" t="e">
            <v>#REF!</v>
          </cell>
        </row>
        <row r="68">
          <cell r="D68" t="str">
            <v xml:space="preserve"> </v>
          </cell>
          <cell r="E68" t="e">
            <v>#REF!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port"/>
      <sheetName val="Act vs AP and Prior"/>
      <sheetName val="EA by Qtr"/>
      <sheetName val="Act vs AP by Qtr"/>
      <sheetName val="Act vs Prior by Qtr"/>
      <sheetName val="2005 Act"/>
      <sheetName val="2003 Act"/>
      <sheetName val="Estimates"/>
      <sheetName val="2005 Monthly AP"/>
      <sheetName val="2004 Act"/>
      <sheetName val="YTD EST"/>
      <sheetName val="Source of Expense - WHHM"/>
      <sheetName val="Source of Expense - Megatrials"/>
      <sheetName val="FASTR load - WHHM"/>
      <sheetName val="FASTR load - SPJV"/>
      <sheetName val="FASTR load - Mura"/>
      <sheetName val="PIEVO"/>
      <sheetName val="PIEVO - QTR"/>
      <sheetName val="V-Data (Month)"/>
      <sheetName val="V-Data (YTD)"/>
      <sheetName val="CSV (Load File)"/>
      <sheetName val="JV c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Screen"/>
      <sheetName val="VersionChanges"/>
      <sheetName val="Results"/>
      <sheetName val="Charts"/>
      <sheetName val="MonteCarlo"/>
      <sheetName val="Assumptions"/>
      <sheetName val="Dates"/>
      <sheetName val="Prob"/>
      <sheetName val="Dosing"/>
      <sheetName val="AgPen"/>
      <sheetName val="VaccRates"/>
      <sheetName val="C"/>
      <sheetName val="Evt1"/>
      <sheetName val="Evt2"/>
      <sheetName val="Wastage"/>
      <sheetName val="Pricing"/>
      <sheetName val="FromModelCreator"/>
      <sheetName val="Cascade"/>
      <sheetName val="Workspace"/>
      <sheetName val="MainCode"/>
      <sheetName val="Functions"/>
      <sheetName val="CHCode"/>
      <sheetName val="MCCode"/>
      <sheetName val="CBMacro"/>
      <sheetName val="FHCode"/>
      <sheetName val="CommentCode"/>
      <sheetName val="ScenarioCode"/>
      <sheetName val="Database R"/>
      <sheetName val="Database R (2)"/>
      <sheetName val="Database W"/>
      <sheetName val="Database W(2)"/>
      <sheetName val="Database W(3)"/>
      <sheetName val="Database MC"/>
      <sheetName val="Database Extra"/>
      <sheetName val="Database Extra_2"/>
      <sheetName val="dbCode_1"/>
      <sheetName val="dbCode_2"/>
      <sheetName val="dbCode_3"/>
      <sheetName val="dbCode_4"/>
      <sheetName val="dbCode_5"/>
      <sheetName val="dbCode_6"/>
      <sheetName val="dbCode_7"/>
      <sheetName val="FH1"/>
      <sheetName val="FH2a"/>
      <sheetName val="FH2b"/>
      <sheetName val="FH2c"/>
      <sheetName val="FH2d"/>
      <sheetName val="GraphDialog"/>
      <sheetName val="CommentDialog"/>
      <sheetName val="AssumReport"/>
      <sheetName val="ScenarioDialog"/>
      <sheetName val="d148"/>
      <sheetName val="PivotAntigensbyState"/>
      <sheetName val="Dropdowns"/>
      <sheetName val="Sales Sum"/>
      <sheetName val="HCAPR"/>
      <sheetName val="Control_Sheet"/>
      <sheetName val="BaseData"/>
      <sheetName val="Bear_Data"/>
      <sheetName val="Berstein_Data"/>
      <sheetName val="BofA_Data"/>
      <sheetName val="Citigroup_Data"/>
      <sheetName val="Cowen_Data"/>
      <sheetName val="Credit-Suisse_Data"/>
      <sheetName val="Deutsche_Data"/>
      <sheetName val="FBR_Data"/>
      <sheetName val="GS_Data"/>
      <sheetName val="JPMorgan_Data"/>
      <sheetName val="Lehman_Data"/>
      <sheetName val="Merrill_Data"/>
      <sheetName val="MorganStanley_Data"/>
      <sheetName val="Prudential_Data"/>
      <sheetName val="UBS_Data"/>
      <sheetName val="Control"/>
      <sheetName val="Parameters"/>
      <sheetName val="MHHD EUROPE"/>
      <sheetName val="01Other"/>
      <sheetName val="Transfers - detail app1"/>
      <sheetName val="PPXLSaveData3"/>
      <sheetName val="Summ"/>
      <sheetName val="Control (2)"/>
      <sheetName val="Cons"/>
      <sheetName val="List"/>
      <sheetName val="#5- 2014 Budget vs 2014 Nov FC"/>
      <sheetName val="PED_PVT"/>
      <sheetName val="Menus"/>
      <sheetName val="Instruction"/>
      <sheetName val="EB trends"/>
      <sheetName val="EB"/>
      <sheetName val="EA EB"/>
      <sheetName val="PGM calc"/>
      <sheetName val="Data"/>
      <sheetName val="Sheet2"/>
      <sheetName val="FTE"/>
      <sheetName val="mynotes"/>
      <sheetName val="Definitions"/>
      <sheetName val="BPC Retrieve"/>
      <sheetName val="Lookup"/>
      <sheetName val="Database_R"/>
      <sheetName val="Database_R_(2)"/>
      <sheetName val="Database_W"/>
      <sheetName val="Database_W(2)"/>
      <sheetName val="Database_W(3)"/>
      <sheetName val="Database_MC"/>
      <sheetName val="Database_Extra"/>
      <sheetName val="Database_Extra_2"/>
      <sheetName val="Sales_Sum"/>
      <sheetName val="MHHD_EUROPE"/>
      <sheetName val="Transfers_-_detail_app1"/>
      <sheetName val="Control_(2)"/>
      <sheetName val="#5-_2014_Budget_vs_2014_Nov_FC"/>
      <sheetName val="PGM_calc"/>
      <sheetName val="EB_trends"/>
      <sheetName val="EA_EB"/>
      <sheetName val="BPC_Retrieve"/>
      <sheetName val="Jan"/>
      <sheetName val="Parameter"/>
      <sheetName val="Banks Details"/>
      <sheetName val="B60"/>
      <sheetName val="W61070"/>
      <sheetName val="AFFL"/>
      <sheetName val="AWL"/>
      <sheetName val="BTTL"/>
      <sheetName val="CMC"/>
      <sheetName val="DCSC"/>
      <sheetName val="DPMC"/>
      <sheetName val="DTPL"/>
      <sheetName val="FCIL"/>
      <sheetName val="GFC"/>
      <sheetName val="LFC"/>
      <sheetName val="LHC"/>
      <sheetName val="LPI"/>
      <sheetName val="MFPS"/>
      <sheetName val="MHC"/>
      <sheetName val="OIL"/>
      <sheetName val="RMFL"/>
      <sheetName val="SWL"/>
      <sheetName val="Database_R1"/>
      <sheetName val="Database_R_(2)1"/>
      <sheetName val="Database_W1"/>
      <sheetName val="Database_W(2)1"/>
      <sheetName val="Database_W(3)1"/>
      <sheetName val="Database_MC1"/>
      <sheetName val="Database_Extra1"/>
      <sheetName val="Database_Extra_21"/>
      <sheetName val="Sales_Sum1"/>
      <sheetName val="MHHD_EUROPE1"/>
      <sheetName val="Transfers_-_detail_app11"/>
      <sheetName val="Control_(2)1"/>
      <sheetName val="#5-_2014_Budget_vs_2014_Nov_FC1"/>
      <sheetName val="EB_trends1"/>
      <sheetName val="EA_EB1"/>
      <sheetName val="PGM_calc1"/>
      <sheetName val="BPC_Retrieve1"/>
      <sheetName val="Banks_Details"/>
      <sheetName val="B-3"/>
      <sheetName val="4-Depreciation"/>
      <sheetName val="1- Lapsing"/>
    </sheetNames>
    <sheetDataSet>
      <sheetData sheetId="0" refreshError="1">
        <row r="20">
          <cell r="D20">
            <v>1996</v>
          </cell>
        </row>
        <row r="22">
          <cell r="D22">
            <v>25</v>
          </cell>
        </row>
        <row r="205">
          <cell r="C205">
            <v>0.129999995231628</v>
          </cell>
        </row>
        <row r="208">
          <cell r="C208">
            <v>0.119999997317791</v>
          </cell>
        </row>
        <row r="209">
          <cell r="C209">
            <v>0.119999997317791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ide31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drawing" Target="../drawings/drawing4.xml"/><Relationship Id="rId7" Type="http://schemas.openxmlformats.org/officeDocument/2006/relationships/control" Target="../activeX/activeX14.xml"/><Relationship Id="rId12" Type="http://schemas.openxmlformats.org/officeDocument/2006/relationships/image" Target="../media/image16.emf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2.bin"/><Relationship Id="rId6" Type="http://schemas.openxmlformats.org/officeDocument/2006/relationships/image" Target="../media/image13.emf"/><Relationship Id="rId11" Type="http://schemas.openxmlformats.org/officeDocument/2006/relationships/control" Target="../activeX/activeX16.xml"/><Relationship Id="rId5" Type="http://schemas.openxmlformats.org/officeDocument/2006/relationships/control" Target="../activeX/activeX13.xml"/><Relationship Id="rId10" Type="http://schemas.openxmlformats.org/officeDocument/2006/relationships/image" Target="../media/image15.emf"/><Relationship Id="rId4" Type="http://schemas.openxmlformats.org/officeDocument/2006/relationships/vmlDrawing" Target="../drawings/vmlDrawing4.vml"/><Relationship Id="rId9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control" Target="../activeX/activeX4.xml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12" Type="http://schemas.openxmlformats.org/officeDocument/2006/relationships/image" Target="../media/image3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3.xml"/><Relationship Id="rId5" Type="http://schemas.openxmlformats.org/officeDocument/2006/relationships/drawing" Target="../drawings/drawing1.xml"/><Relationship Id="rId10" Type="http://schemas.openxmlformats.org/officeDocument/2006/relationships/image" Target="../media/image2.emf"/><Relationship Id="rId4" Type="http://schemas.openxmlformats.org/officeDocument/2006/relationships/customProperty" Target="../customProperty5.bin"/><Relationship Id="rId9" Type="http://schemas.openxmlformats.org/officeDocument/2006/relationships/control" Target="../activeX/activeX2.xml"/><Relationship Id="rId14" Type="http://schemas.openxmlformats.org/officeDocument/2006/relationships/image" Target="../media/image4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8.xml"/><Relationship Id="rId3" Type="http://schemas.openxmlformats.org/officeDocument/2006/relationships/customProperty" Target="../customProperty8.bin"/><Relationship Id="rId7" Type="http://schemas.openxmlformats.org/officeDocument/2006/relationships/control" Target="../activeX/activeX5.xml"/><Relationship Id="rId12" Type="http://schemas.openxmlformats.org/officeDocument/2006/relationships/image" Target="../media/image7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7.xml"/><Relationship Id="rId5" Type="http://schemas.openxmlformats.org/officeDocument/2006/relationships/drawing" Target="../drawings/drawing2.xml"/><Relationship Id="rId10" Type="http://schemas.openxmlformats.org/officeDocument/2006/relationships/image" Target="../media/image6.emf"/><Relationship Id="rId4" Type="http://schemas.openxmlformats.org/officeDocument/2006/relationships/customProperty" Target="../customProperty9.bin"/><Relationship Id="rId9" Type="http://schemas.openxmlformats.org/officeDocument/2006/relationships/control" Target="../activeX/activeX6.xml"/><Relationship Id="rId14" Type="http://schemas.openxmlformats.org/officeDocument/2006/relationships/image" Target="../media/image8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control" Target="../activeX/activeX12.xml"/><Relationship Id="rId3" Type="http://schemas.openxmlformats.org/officeDocument/2006/relationships/customProperty" Target="../customProperty11.bin"/><Relationship Id="rId7" Type="http://schemas.openxmlformats.org/officeDocument/2006/relationships/control" Target="../activeX/activeX9.xml"/><Relationship Id="rId12" Type="http://schemas.openxmlformats.org/officeDocument/2006/relationships/image" Target="../media/image11.emf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3.vml"/><Relationship Id="rId11" Type="http://schemas.openxmlformats.org/officeDocument/2006/relationships/control" Target="../activeX/activeX11.xml"/><Relationship Id="rId5" Type="http://schemas.openxmlformats.org/officeDocument/2006/relationships/drawing" Target="../drawings/drawing3.xml"/><Relationship Id="rId10" Type="http://schemas.openxmlformats.org/officeDocument/2006/relationships/image" Target="../media/image10.emf"/><Relationship Id="rId4" Type="http://schemas.openxmlformats.org/officeDocument/2006/relationships/customProperty" Target="../customProperty12.bin"/><Relationship Id="rId9" Type="http://schemas.openxmlformats.org/officeDocument/2006/relationships/control" Target="../activeX/activeX10.xml"/><Relationship Id="rId14" Type="http://schemas.openxmlformats.org/officeDocument/2006/relationships/image" Target="../media/image12.emf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813C-1DD8-4A1A-9006-D0FEB18418FF}">
  <sheetPr>
    <tabColor theme="5" tint="0.79998168889431442"/>
    <pageSetUpPr fitToPage="1"/>
  </sheetPr>
  <dimension ref="A1:Y55"/>
  <sheetViews>
    <sheetView showGridLines="0" tabSelected="1" topLeftCell="A26" zoomScaleNormal="100" workbookViewId="0">
      <selection activeCell="J39" sqref="J39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8.7265625" style="2" bestFit="1" customWidth="1"/>
    <col min="6" max="6" width="11" style="2" bestFit="1" customWidth="1"/>
    <col min="7" max="7" width="10.1796875" style="2" bestFit="1" customWidth="1"/>
    <col min="8" max="8" width="12.906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8.7265625" style="2" customWidth="1"/>
    <col min="16" max="16" width="12.26953125" style="2" bestFit="1" customWidth="1"/>
    <col min="17" max="17" width="3.08984375" style="71" customWidth="1"/>
    <col min="18" max="19" width="8.81640625" style="2" hidden="1" customWidth="1"/>
    <col min="20" max="24" width="8.81640625" style="2"/>
    <col min="25" max="25" width="7.08984375" style="2" customWidth="1"/>
    <col min="26" max="16384" width="8.81640625" style="2"/>
  </cols>
  <sheetData>
    <row r="1" spans="1:19" s="1" customFormat="1" x14ac:dyDescent="0.25">
      <c r="A1" s="1" t="s">
        <v>39</v>
      </c>
      <c r="Q1" s="64"/>
    </row>
    <row r="3" spans="1:19" x14ac:dyDescent="0.25">
      <c r="B3" s="88" t="s">
        <v>61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65"/>
    </row>
    <row r="4" spans="1:19" x14ac:dyDescent="0.25">
      <c r="B4" s="89">
        <v>2022</v>
      </c>
      <c r="C4" s="90"/>
      <c r="D4" s="90"/>
      <c r="E4" s="90"/>
      <c r="F4" s="90"/>
      <c r="G4" s="90"/>
      <c r="H4" s="90"/>
      <c r="J4" s="88">
        <v>2021</v>
      </c>
      <c r="K4" s="88"/>
      <c r="L4" s="88"/>
      <c r="M4" s="88"/>
      <c r="N4" s="88"/>
      <c r="O4" s="88"/>
      <c r="P4" s="88"/>
      <c r="Q4" s="65"/>
    </row>
    <row r="5" spans="1:19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  <c r="Q5" s="66"/>
      <c r="R5" s="2" t="s">
        <v>64</v>
      </c>
    </row>
    <row r="6" spans="1:19" s="1" customFormat="1" x14ac:dyDescent="0.25">
      <c r="A6" s="92" t="s">
        <v>7</v>
      </c>
      <c r="B6" s="77"/>
      <c r="C6" s="77"/>
      <c r="D6" s="77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64"/>
    </row>
    <row r="7" spans="1:19" x14ac:dyDescent="0.25">
      <c r="A7" s="8" t="s">
        <v>51</v>
      </c>
      <c r="B7" s="22">
        <v>171.77354346999999</v>
      </c>
      <c r="C7" s="22">
        <v>6.3509711200000005</v>
      </c>
      <c r="D7" s="76" t="s">
        <v>66</v>
      </c>
      <c r="E7" s="22">
        <v>19.211978989999999</v>
      </c>
      <c r="F7" s="22">
        <v>41.334228459999999</v>
      </c>
      <c r="G7" s="22">
        <v>0</v>
      </c>
      <c r="H7" s="23">
        <v>238.81644699</v>
      </c>
      <c r="I7" s="24">
        <v>0</v>
      </c>
      <c r="J7" s="24">
        <v>143.32799691</v>
      </c>
      <c r="K7" s="24">
        <v>7.6802010899999997</v>
      </c>
      <c r="L7" s="24" t="s">
        <v>67</v>
      </c>
      <c r="M7" s="24">
        <v>23.394625899999998</v>
      </c>
      <c r="N7" s="24">
        <v>51.750502800000007</v>
      </c>
      <c r="O7" s="24">
        <v>0</v>
      </c>
      <c r="P7" s="23">
        <v>226.24644699999999</v>
      </c>
      <c r="Q7" s="67"/>
      <c r="R7" s="62">
        <v>0</v>
      </c>
      <c r="S7" s="62">
        <v>0</v>
      </c>
    </row>
    <row r="8" spans="1:19" x14ac:dyDescent="0.25">
      <c r="A8" s="8" t="s">
        <v>9</v>
      </c>
      <c r="B8" s="18">
        <v>25.914994420000003</v>
      </c>
      <c r="C8" s="18">
        <v>5.8045860099999995</v>
      </c>
      <c r="D8" s="18">
        <v>7.6962981299999997</v>
      </c>
      <c r="E8" s="18">
        <v>8.4891890600000011</v>
      </c>
      <c r="F8" s="18">
        <v>2.5343399199999999</v>
      </c>
      <c r="G8" s="18">
        <v>0</v>
      </c>
      <c r="H8" s="19">
        <v>50.439407539999998</v>
      </c>
      <c r="I8" s="2">
        <v>0</v>
      </c>
      <c r="J8" s="9">
        <v>29.1999247</v>
      </c>
      <c r="K8" s="9">
        <v>5.4838212500000001</v>
      </c>
      <c r="L8" s="9">
        <v>11.95400296</v>
      </c>
      <c r="M8" s="9">
        <v>9.9303415500000014</v>
      </c>
      <c r="N8" s="9">
        <v>2.88364646</v>
      </c>
      <c r="O8" s="9">
        <v>0</v>
      </c>
      <c r="P8" s="19">
        <v>59.451736920000002</v>
      </c>
      <c r="Q8" s="68"/>
      <c r="R8" s="62">
        <v>0</v>
      </c>
      <c r="S8" s="62">
        <v>0</v>
      </c>
    </row>
    <row r="9" spans="1:19" x14ac:dyDescent="0.25">
      <c r="A9" s="8" t="s">
        <v>8</v>
      </c>
      <c r="B9" s="18">
        <v>20.596005940000001</v>
      </c>
      <c r="C9" s="18">
        <v>0.55255556000000006</v>
      </c>
      <c r="D9" s="75">
        <v>0</v>
      </c>
      <c r="E9" s="18">
        <v>13.1598533</v>
      </c>
      <c r="F9" s="18">
        <v>5.7975245900000001</v>
      </c>
      <c r="G9" s="18">
        <v>0</v>
      </c>
      <c r="H9" s="19">
        <v>40.105939390000003</v>
      </c>
      <c r="I9" s="2">
        <v>0</v>
      </c>
      <c r="J9" s="9">
        <v>17.369711980000002</v>
      </c>
      <c r="K9" s="9">
        <v>0</v>
      </c>
      <c r="L9" s="9">
        <v>0</v>
      </c>
      <c r="M9" s="9">
        <v>17.10584446</v>
      </c>
      <c r="N9" s="9">
        <v>9.1486072100000015</v>
      </c>
      <c r="O9" s="9">
        <v>0</v>
      </c>
      <c r="P9" s="19">
        <v>44.12203281</v>
      </c>
      <c r="Q9" s="68"/>
      <c r="R9" s="62">
        <v>0</v>
      </c>
      <c r="S9" s="62">
        <v>0</v>
      </c>
    </row>
    <row r="10" spans="1:19" x14ac:dyDescent="0.25">
      <c r="A10" s="8" t="s">
        <v>52</v>
      </c>
      <c r="B10" s="18">
        <v>5.7608967599999996</v>
      </c>
      <c r="C10" s="18">
        <v>5.7571135399999998</v>
      </c>
      <c r="D10" s="18">
        <v>3.3506189500000003</v>
      </c>
      <c r="E10" s="18">
        <v>8.7137686599999995</v>
      </c>
      <c r="F10" s="18">
        <v>1.8604119299999999</v>
      </c>
      <c r="G10" s="18">
        <v>0</v>
      </c>
      <c r="H10" s="19">
        <v>25.442809839999999</v>
      </c>
      <c r="I10" s="2">
        <v>0</v>
      </c>
      <c r="J10" s="9">
        <v>3.4746735099999997</v>
      </c>
      <c r="K10" s="9">
        <v>4.7491440199999992</v>
      </c>
      <c r="L10" s="9">
        <v>4.4065365400000003</v>
      </c>
      <c r="M10" s="9">
        <v>9.63271561</v>
      </c>
      <c r="N10" s="9">
        <v>3.3185230699999999</v>
      </c>
      <c r="O10" s="9">
        <v>0</v>
      </c>
      <c r="P10" s="19">
        <v>25.581592749999999</v>
      </c>
      <c r="Q10" s="68"/>
      <c r="R10" s="62">
        <v>0</v>
      </c>
      <c r="S10" s="62">
        <v>0</v>
      </c>
    </row>
    <row r="11" spans="1:19" x14ac:dyDescent="0.25">
      <c r="A11" s="8" t="s">
        <v>65</v>
      </c>
      <c r="B11" s="18">
        <v>0</v>
      </c>
      <c r="C11" s="18">
        <v>11.70257657</v>
      </c>
      <c r="D11" s="18">
        <v>2.3787816299999998</v>
      </c>
      <c r="E11" s="18">
        <v>4.0868499399999996</v>
      </c>
      <c r="F11" s="18">
        <v>6.2236283000000006</v>
      </c>
      <c r="G11" s="18">
        <v>0</v>
      </c>
      <c r="H11" s="19">
        <v>24.391836440000002</v>
      </c>
      <c r="I11" s="2">
        <v>0</v>
      </c>
      <c r="J11" s="9">
        <v>0</v>
      </c>
      <c r="K11" s="9">
        <v>9.80802102</v>
      </c>
      <c r="L11" s="9">
        <v>0</v>
      </c>
      <c r="M11" s="9">
        <v>5.5348061899999994</v>
      </c>
      <c r="N11" s="9">
        <v>6.4163081799999997</v>
      </c>
      <c r="O11" s="9">
        <v>0</v>
      </c>
      <c r="P11" s="19">
        <v>21.759135390000001</v>
      </c>
      <c r="Q11" s="68"/>
      <c r="R11" s="62">
        <v>0</v>
      </c>
      <c r="S11" s="62">
        <v>0</v>
      </c>
    </row>
    <row r="12" spans="1:19" s="12" customFormat="1" ht="14" x14ac:dyDescent="0.25">
      <c r="A12" s="11" t="s">
        <v>50</v>
      </c>
      <c r="B12" s="18">
        <v>30.094490310000033</v>
      </c>
      <c r="C12" s="18">
        <v>2.8219758900000005</v>
      </c>
      <c r="D12" s="18">
        <v>0</v>
      </c>
      <c r="E12" s="18">
        <v>11.776325690000013</v>
      </c>
      <c r="F12" s="18">
        <v>9.4092451400000083</v>
      </c>
      <c r="G12" s="18">
        <v>0</v>
      </c>
      <c r="H12" s="19">
        <v>54.102037030000034</v>
      </c>
      <c r="I12" s="12">
        <v>0</v>
      </c>
      <c r="J12" s="9">
        <v>13.612287610000044</v>
      </c>
      <c r="K12" s="9">
        <v>1.8320862699999996</v>
      </c>
      <c r="L12" s="9">
        <v>0</v>
      </c>
      <c r="M12" s="9">
        <v>14.24925928</v>
      </c>
      <c r="N12" s="9">
        <v>8.1112873299999979</v>
      </c>
      <c r="O12" s="9">
        <v>0</v>
      </c>
      <c r="P12" s="19">
        <v>37.804920489999951</v>
      </c>
      <c r="Q12" s="68"/>
      <c r="R12" s="62">
        <v>0</v>
      </c>
      <c r="S12" s="62">
        <v>-9.2370555648813024E-14</v>
      </c>
    </row>
    <row r="13" spans="1:19" s="12" customFormat="1" x14ac:dyDescent="0.25">
      <c r="A13" s="94" t="s">
        <v>12</v>
      </c>
      <c r="B13" s="79"/>
      <c r="C13" s="79"/>
      <c r="D13" s="79"/>
      <c r="E13" s="79"/>
      <c r="F13" s="79"/>
      <c r="G13" s="79"/>
      <c r="H13" s="79"/>
      <c r="I13" s="80"/>
      <c r="J13" s="81"/>
      <c r="K13" s="81"/>
      <c r="L13" s="81"/>
      <c r="M13" s="81"/>
      <c r="N13" s="81"/>
      <c r="O13" s="81"/>
      <c r="P13" s="81"/>
      <c r="Q13" s="68"/>
      <c r="R13" s="62">
        <v>0</v>
      </c>
      <c r="S13" s="62">
        <v>0</v>
      </c>
    </row>
    <row r="14" spans="1:19" x14ac:dyDescent="0.25">
      <c r="A14" s="8" t="s">
        <v>11</v>
      </c>
      <c r="B14" s="18">
        <v>50.600617770000007</v>
      </c>
      <c r="C14" s="18">
        <v>1.6496503500000002</v>
      </c>
      <c r="D14" s="18">
        <v>0</v>
      </c>
      <c r="E14" s="18">
        <v>6.3756240100000001</v>
      </c>
      <c r="F14" s="18">
        <v>1.47197976</v>
      </c>
      <c r="G14" s="18">
        <v>0</v>
      </c>
      <c r="H14" s="19">
        <v>60.09787189</v>
      </c>
      <c r="I14" s="2">
        <v>0</v>
      </c>
      <c r="J14" s="9">
        <v>44.51407777</v>
      </c>
      <c r="K14" s="9">
        <v>0.64114329000000003</v>
      </c>
      <c r="L14" s="9">
        <v>0</v>
      </c>
      <c r="M14" s="9">
        <v>4.12427367</v>
      </c>
      <c r="N14" s="9">
        <v>1.2455316000000001</v>
      </c>
      <c r="O14" s="9">
        <v>0</v>
      </c>
      <c r="P14" s="19">
        <v>50.525026329999996</v>
      </c>
      <c r="Q14" s="68"/>
      <c r="R14" s="62">
        <v>0</v>
      </c>
      <c r="S14" s="62">
        <v>0</v>
      </c>
    </row>
    <row r="15" spans="1:19" x14ac:dyDescent="0.25">
      <c r="A15" s="8" t="s">
        <v>13</v>
      </c>
      <c r="B15" s="18">
        <v>13.385424890000001</v>
      </c>
      <c r="C15" s="18">
        <v>0</v>
      </c>
      <c r="D15" s="18">
        <v>0</v>
      </c>
      <c r="E15" s="18">
        <v>6.6457065999999996</v>
      </c>
      <c r="F15" s="18">
        <v>14.505421289999999</v>
      </c>
      <c r="G15" s="18">
        <v>0</v>
      </c>
      <c r="H15" s="19">
        <v>34.944026319999999</v>
      </c>
      <c r="I15" s="2">
        <v>0</v>
      </c>
      <c r="J15" s="9">
        <v>14.47967313</v>
      </c>
      <c r="K15" s="9">
        <v>0.70777328000000006</v>
      </c>
      <c r="L15" s="9">
        <v>0</v>
      </c>
      <c r="M15" s="9">
        <v>10.512348080000001</v>
      </c>
      <c r="N15" s="9">
        <v>0</v>
      </c>
      <c r="O15" s="9">
        <v>0</v>
      </c>
      <c r="P15" s="19">
        <v>25.66774281</v>
      </c>
      <c r="Q15" s="68"/>
      <c r="R15" s="62">
        <v>0</v>
      </c>
      <c r="S15" s="62">
        <v>0</v>
      </c>
    </row>
    <row r="16" spans="1:19" x14ac:dyDescent="0.25">
      <c r="A16" s="8" t="s">
        <v>14</v>
      </c>
      <c r="B16" s="18">
        <v>0</v>
      </c>
      <c r="C16" s="18">
        <v>3.9240902100000001</v>
      </c>
      <c r="D16" s="18">
        <v>0</v>
      </c>
      <c r="E16" s="18">
        <v>8.8924062100000008</v>
      </c>
      <c r="F16" s="18">
        <v>10.574847779999999</v>
      </c>
      <c r="G16" s="18">
        <v>0</v>
      </c>
      <c r="H16" s="19">
        <v>23.391344199999999</v>
      </c>
      <c r="I16" s="2">
        <v>0</v>
      </c>
      <c r="J16" s="9">
        <v>0</v>
      </c>
      <c r="K16" s="9">
        <v>6.4068458399999999</v>
      </c>
      <c r="L16" s="9">
        <v>0</v>
      </c>
      <c r="M16" s="9">
        <v>5.4944049699999997</v>
      </c>
      <c r="N16" s="9">
        <v>16.256689789999999</v>
      </c>
      <c r="O16" s="9">
        <v>0</v>
      </c>
      <c r="P16" s="19">
        <v>28.1579406</v>
      </c>
      <c r="Q16" s="68"/>
      <c r="R16" s="62">
        <v>0</v>
      </c>
      <c r="S16" s="62">
        <v>0</v>
      </c>
    </row>
    <row r="17" spans="1:25" x14ac:dyDescent="0.25">
      <c r="A17" s="61" t="s">
        <v>62</v>
      </c>
      <c r="B17" s="18">
        <v>0</v>
      </c>
      <c r="C17" s="18">
        <v>0</v>
      </c>
      <c r="D17" s="18">
        <v>0</v>
      </c>
      <c r="E17" s="18">
        <v>10.096945160000001</v>
      </c>
      <c r="F17" s="18">
        <v>0</v>
      </c>
      <c r="G17" s="18">
        <v>0</v>
      </c>
      <c r="H17" s="19">
        <v>10.096945160000001</v>
      </c>
      <c r="I17" s="2">
        <v>1</v>
      </c>
      <c r="J17" s="9">
        <v>0</v>
      </c>
      <c r="K17" s="9">
        <v>0</v>
      </c>
      <c r="L17" s="9">
        <v>0</v>
      </c>
      <c r="M17" s="9">
        <v>10.356581759999999</v>
      </c>
      <c r="N17" s="9">
        <v>0</v>
      </c>
      <c r="O17" s="9">
        <v>0</v>
      </c>
      <c r="P17" s="19">
        <v>10.356581759999999</v>
      </c>
      <c r="Q17" s="68"/>
      <c r="R17" s="62">
        <v>0</v>
      </c>
      <c r="S17" s="62">
        <v>0</v>
      </c>
    </row>
    <row r="18" spans="1:25" x14ac:dyDescent="0.25">
      <c r="A18" s="8" t="s">
        <v>63</v>
      </c>
      <c r="B18" s="18">
        <v>0</v>
      </c>
      <c r="C18" s="18">
        <v>1.0123887</v>
      </c>
      <c r="D18" s="18">
        <v>0</v>
      </c>
      <c r="E18" s="18">
        <v>4.4835933299999997</v>
      </c>
      <c r="F18" s="18">
        <v>0</v>
      </c>
      <c r="G18" s="18">
        <v>0</v>
      </c>
      <c r="H18" s="19">
        <v>5.6809824600000001</v>
      </c>
      <c r="I18" s="2">
        <v>2</v>
      </c>
      <c r="J18" s="9">
        <v>0</v>
      </c>
      <c r="K18" s="9">
        <v>0</v>
      </c>
      <c r="L18" s="9">
        <v>0</v>
      </c>
      <c r="M18" s="9">
        <v>4.0116836200000003</v>
      </c>
      <c r="N18" s="9">
        <v>0</v>
      </c>
      <c r="O18" s="9">
        <v>0</v>
      </c>
      <c r="P18" s="19">
        <v>3.7688349900000002</v>
      </c>
      <c r="Q18" s="68"/>
      <c r="R18" s="62">
        <v>0</v>
      </c>
      <c r="S18" s="62">
        <v>0</v>
      </c>
    </row>
    <row r="19" spans="1:25" ht="11" customHeight="1" x14ac:dyDescent="0.25">
      <c r="A19" s="8" t="s">
        <v>49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  <c r="Q19" s="68"/>
      <c r="R19" s="62">
        <v>0</v>
      </c>
      <c r="S19" s="62">
        <v>0</v>
      </c>
    </row>
    <row r="20" spans="1:25" x14ac:dyDescent="0.25">
      <c r="A20" s="93" t="s">
        <v>34</v>
      </c>
      <c r="B20" s="85"/>
      <c r="C20" s="85"/>
      <c r="D20" s="85"/>
      <c r="E20" s="85"/>
      <c r="F20" s="85"/>
      <c r="G20" s="85"/>
      <c r="H20" s="85"/>
      <c r="I20" s="86">
        <v>0</v>
      </c>
      <c r="J20" s="87"/>
      <c r="K20" s="87"/>
      <c r="L20" s="87"/>
      <c r="M20" s="87"/>
      <c r="N20" s="87"/>
      <c r="O20" s="87"/>
      <c r="P20" s="87"/>
      <c r="Q20" s="68"/>
      <c r="R20" s="62">
        <v>0</v>
      </c>
      <c r="S20" s="62">
        <v>0</v>
      </c>
    </row>
    <row r="21" spans="1:25" s="100" customFormat="1" x14ac:dyDescent="0.25">
      <c r="A21" s="95" t="s">
        <v>35</v>
      </c>
      <c r="B21" s="96"/>
      <c r="C21" s="96"/>
      <c r="D21" s="96"/>
      <c r="E21" s="96"/>
      <c r="F21" s="96"/>
      <c r="G21" s="96"/>
      <c r="H21" s="96"/>
      <c r="J21" s="98"/>
      <c r="K21" s="98"/>
      <c r="L21" s="98"/>
      <c r="M21" s="98"/>
      <c r="N21" s="98"/>
      <c r="O21" s="98"/>
      <c r="P21" s="96"/>
      <c r="Q21" s="96"/>
      <c r="R21" s="99">
        <v>0</v>
      </c>
      <c r="S21" s="99">
        <v>0</v>
      </c>
    </row>
    <row r="22" spans="1:25" x14ac:dyDescent="0.25">
      <c r="A22" s="8" t="s">
        <v>15</v>
      </c>
      <c r="B22" s="18">
        <v>0.85165354000000004</v>
      </c>
      <c r="C22" s="18">
        <v>14.55570816</v>
      </c>
      <c r="D22" s="18">
        <v>30.672022999999999</v>
      </c>
      <c r="E22" s="18">
        <v>18.058489160000001</v>
      </c>
      <c r="F22" s="18">
        <v>6.7390597999999997</v>
      </c>
      <c r="G22" s="18">
        <v>0</v>
      </c>
      <c r="H22" s="19">
        <v>70.876933659999992</v>
      </c>
      <c r="I22" s="2">
        <v>0</v>
      </c>
      <c r="J22" s="9">
        <v>4.05562354</v>
      </c>
      <c r="K22" s="9">
        <v>15.956029939999999</v>
      </c>
      <c r="L22" s="9">
        <v>48.318265439999998</v>
      </c>
      <c r="M22" s="9">
        <v>22.12209283</v>
      </c>
      <c r="N22" s="9">
        <v>5.2198578899999992</v>
      </c>
      <c r="O22" s="9">
        <v>0</v>
      </c>
      <c r="P22" s="19">
        <v>95.671869639999997</v>
      </c>
      <c r="Q22" s="68"/>
      <c r="R22" s="62">
        <v>0</v>
      </c>
      <c r="S22" s="62">
        <v>0</v>
      </c>
    </row>
    <row r="23" spans="1:25" x14ac:dyDescent="0.25">
      <c r="A23" s="11" t="s">
        <v>16</v>
      </c>
      <c r="B23" s="18">
        <v>1.4365155000000001</v>
      </c>
      <c r="C23" s="18">
        <v>5.3291599199999995</v>
      </c>
      <c r="D23" s="18">
        <v>0</v>
      </c>
      <c r="E23" s="18">
        <v>12.535850810000001</v>
      </c>
      <c r="F23" s="18">
        <v>6.9459222599999997</v>
      </c>
      <c r="G23" s="18">
        <v>0</v>
      </c>
      <c r="H23" s="19">
        <v>26.222636489999999</v>
      </c>
      <c r="I23" s="2">
        <v>0</v>
      </c>
      <c r="J23" s="9">
        <v>2.8771111899999999</v>
      </c>
      <c r="K23" s="9">
        <v>7.6959588099999996</v>
      </c>
      <c r="L23" s="9">
        <v>0</v>
      </c>
      <c r="M23" s="9">
        <v>17.269735230000002</v>
      </c>
      <c r="N23" s="9">
        <v>8.8297719000000008</v>
      </c>
      <c r="O23" s="9">
        <v>0</v>
      </c>
      <c r="P23" s="19">
        <v>37.260986409999994</v>
      </c>
      <c r="Q23" s="68"/>
      <c r="R23" s="62">
        <v>0</v>
      </c>
      <c r="S23" s="62">
        <v>0</v>
      </c>
    </row>
    <row r="24" spans="1:25" x14ac:dyDescent="0.25">
      <c r="A24" s="8" t="s">
        <v>17</v>
      </c>
      <c r="B24" s="18">
        <v>0</v>
      </c>
      <c r="C24" s="18">
        <v>30.656713120000003</v>
      </c>
      <c r="D24" s="18">
        <v>0</v>
      </c>
      <c r="E24" s="18">
        <v>69.67386445999999</v>
      </c>
      <c r="F24" s="18">
        <v>6.6425104099999999</v>
      </c>
      <c r="G24" s="18">
        <v>0</v>
      </c>
      <c r="H24" s="19">
        <v>106.97308799</v>
      </c>
      <c r="I24" s="2">
        <v>0</v>
      </c>
      <c r="J24" s="9">
        <v>0</v>
      </c>
      <c r="K24" s="9">
        <v>33.650287399999996</v>
      </c>
      <c r="L24" s="9">
        <v>0</v>
      </c>
      <c r="M24" s="9">
        <v>70.827557549999995</v>
      </c>
      <c r="N24" s="9">
        <v>5.8563024700000001</v>
      </c>
      <c r="O24" s="9">
        <v>0</v>
      </c>
      <c r="P24" s="19">
        <v>110.33414742000001</v>
      </c>
      <c r="Q24" s="68"/>
      <c r="R24" s="62">
        <v>0</v>
      </c>
      <c r="S24" s="62">
        <v>0</v>
      </c>
    </row>
    <row r="25" spans="1:25" x14ac:dyDescent="0.25">
      <c r="A25" s="8" t="s">
        <v>18</v>
      </c>
      <c r="B25" s="18">
        <v>0</v>
      </c>
      <c r="C25" s="18">
        <v>15.71412967</v>
      </c>
      <c r="D25" s="18">
        <v>0</v>
      </c>
      <c r="E25" s="18">
        <v>0</v>
      </c>
      <c r="F25" s="18">
        <v>0</v>
      </c>
      <c r="G25" s="18">
        <v>0</v>
      </c>
      <c r="H25" s="19">
        <v>16.06032913</v>
      </c>
      <c r="I25" s="2">
        <v>0</v>
      </c>
      <c r="J25" s="9">
        <v>0</v>
      </c>
      <c r="K25" s="9">
        <v>19.17289353</v>
      </c>
      <c r="L25" s="9">
        <v>0</v>
      </c>
      <c r="M25" s="9">
        <v>0</v>
      </c>
      <c r="N25" s="9">
        <v>0</v>
      </c>
      <c r="O25" s="9">
        <v>0</v>
      </c>
      <c r="P25" s="19">
        <v>19.461770100000003</v>
      </c>
      <c r="Q25" s="68"/>
      <c r="R25" s="62">
        <v>0</v>
      </c>
      <c r="S25" s="62">
        <v>0</v>
      </c>
    </row>
    <row r="26" spans="1:25" x14ac:dyDescent="0.25">
      <c r="A26" s="8" t="s">
        <v>19</v>
      </c>
      <c r="B26" s="18">
        <v>1.81495988</v>
      </c>
      <c r="C26" s="18">
        <v>19.618609370000001</v>
      </c>
      <c r="D26" s="18">
        <v>31.952497999999999</v>
      </c>
      <c r="E26" s="18">
        <v>8.7055445599999999</v>
      </c>
      <c r="F26" s="18">
        <v>5.8013719200000002</v>
      </c>
      <c r="G26" s="18">
        <v>0</v>
      </c>
      <c r="H26" s="19">
        <v>67.892983729999997</v>
      </c>
      <c r="I26" s="2">
        <v>0</v>
      </c>
      <c r="J26" s="9">
        <v>2.8749333500000001</v>
      </c>
      <c r="K26" s="9">
        <v>29.98369469</v>
      </c>
      <c r="L26" s="9">
        <v>39.789411680000001</v>
      </c>
      <c r="M26" s="9">
        <v>12.65490896</v>
      </c>
      <c r="N26" s="9">
        <v>7.5191246999999999</v>
      </c>
      <c r="O26" s="9">
        <v>0</v>
      </c>
      <c r="P26" s="19">
        <v>92.822073379999992</v>
      </c>
      <c r="Q26" s="68"/>
      <c r="R26" s="62">
        <v>0</v>
      </c>
      <c r="S26" s="62">
        <v>0</v>
      </c>
    </row>
    <row r="27" spans="1:25" hidden="1" x14ac:dyDescent="0.25">
      <c r="A27" s="8" t="s">
        <v>20</v>
      </c>
      <c r="B27" s="18">
        <v>0.77926488000000005</v>
      </c>
      <c r="C27" s="18">
        <v>1.6024718999999998</v>
      </c>
      <c r="D27" s="18">
        <v>2.497633</v>
      </c>
      <c r="E27" s="18">
        <v>3.28736447</v>
      </c>
      <c r="F27" s="18">
        <v>1.5388970800000001</v>
      </c>
      <c r="G27" s="18">
        <v>0</v>
      </c>
      <c r="H27" s="19">
        <v>9.7056313299999992</v>
      </c>
      <c r="I27" s="2">
        <v>0</v>
      </c>
      <c r="J27" s="9">
        <v>0.75656970999999995</v>
      </c>
      <c r="K27" s="9">
        <v>3.72303864</v>
      </c>
      <c r="L27" s="9">
        <v>4.1267381299999997</v>
      </c>
      <c r="M27" s="9">
        <v>4.4879782300000004</v>
      </c>
      <c r="N27" s="9">
        <v>2.5274187100000001</v>
      </c>
      <c r="O27" s="9">
        <v>0</v>
      </c>
      <c r="P27" s="19">
        <v>15.62174342</v>
      </c>
      <c r="Q27" s="68"/>
      <c r="R27" s="62">
        <v>0</v>
      </c>
      <c r="S27" s="62">
        <v>0</v>
      </c>
    </row>
    <row r="28" spans="1:25" s="12" customFormat="1" ht="14" x14ac:dyDescent="0.25">
      <c r="A28" s="11" t="s">
        <v>48</v>
      </c>
      <c r="B28" s="18">
        <v>0.77926487999999994</v>
      </c>
      <c r="C28" s="18">
        <v>13.710008549999998</v>
      </c>
      <c r="D28" s="18">
        <v>2.4991620000000001</v>
      </c>
      <c r="E28" s="18">
        <v>15.026895910000011</v>
      </c>
      <c r="F28" s="18">
        <v>7.5990857899999993</v>
      </c>
      <c r="G28" s="18">
        <v>0</v>
      </c>
      <c r="H28" s="19">
        <v>39.614417129999993</v>
      </c>
      <c r="I28" s="12">
        <v>0</v>
      </c>
      <c r="J28" s="9">
        <v>0.75656970999999906</v>
      </c>
      <c r="K28" s="9">
        <v>7.0041165999999944</v>
      </c>
      <c r="L28" s="9">
        <v>4.1290515000000001</v>
      </c>
      <c r="M28" s="9">
        <v>19.694274930000006</v>
      </c>
      <c r="N28" s="9">
        <v>10.564670990000005</v>
      </c>
      <c r="O28" s="9">
        <v>0</v>
      </c>
      <c r="P28" s="19">
        <v>42.148683730000016</v>
      </c>
      <c r="Q28" s="68"/>
      <c r="R28" s="62">
        <v>0</v>
      </c>
      <c r="S28" s="62">
        <v>0</v>
      </c>
      <c r="Y28" s="63"/>
    </row>
    <row r="29" spans="1:25" s="97" customFormat="1" x14ac:dyDescent="0.25">
      <c r="A29" s="95" t="s">
        <v>36</v>
      </c>
      <c r="B29" s="96"/>
      <c r="C29" s="96"/>
      <c r="D29" s="96"/>
      <c r="E29" s="96"/>
      <c r="F29" s="96"/>
      <c r="G29" s="96"/>
      <c r="H29" s="96"/>
      <c r="J29" s="98"/>
      <c r="K29" s="98"/>
      <c r="L29" s="98"/>
      <c r="M29" s="98"/>
      <c r="N29" s="98"/>
      <c r="O29" s="98"/>
      <c r="P29" s="96"/>
      <c r="Q29" s="96"/>
      <c r="R29" s="99">
        <v>0</v>
      </c>
      <c r="S29" s="99">
        <v>0</v>
      </c>
    </row>
    <row r="30" spans="1:25" x14ac:dyDescent="0.25">
      <c r="A30" s="8" t="s">
        <v>21</v>
      </c>
      <c r="B30" s="18">
        <v>2.7820185299999998</v>
      </c>
      <c r="C30" s="18">
        <v>32.171889379999996</v>
      </c>
      <c r="D30" s="18">
        <v>33.298062000000002</v>
      </c>
      <c r="E30" s="18">
        <v>14.73411698</v>
      </c>
      <c r="F30" s="18">
        <v>11.67923401</v>
      </c>
      <c r="G30" s="18">
        <v>0</v>
      </c>
      <c r="H30" s="19">
        <v>94.665320900000012</v>
      </c>
      <c r="I30" s="2">
        <v>0</v>
      </c>
      <c r="J30" s="9">
        <v>4.6695987699999995</v>
      </c>
      <c r="K30" s="9">
        <v>45.79450138</v>
      </c>
      <c r="L30" s="9">
        <v>38.112203579999999</v>
      </c>
      <c r="M30" s="9">
        <v>15.7709346</v>
      </c>
      <c r="N30" s="9">
        <v>8.8155004399999992</v>
      </c>
      <c r="O30" s="9">
        <v>0</v>
      </c>
      <c r="P30" s="19">
        <v>113.16273876999999</v>
      </c>
      <c r="Q30" s="68"/>
      <c r="R30" s="62">
        <v>0</v>
      </c>
      <c r="S30" s="62">
        <v>0</v>
      </c>
    </row>
    <row r="31" spans="1:25" x14ac:dyDescent="0.25">
      <c r="A31" s="8" t="s">
        <v>22</v>
      </c>
      <c r="B31" s="18">
        <v>0</v>
      </c>
      <c r="C31" s="20">
        <v>8.5783465299999992</v>
      </c>
      <c r="D31" s="20">
        <v>21.990140520000001</v>
      </c>
      <c r="E31" s="20">
        <v>10.722185769999999</v>
      </c>
      <c r="F31" s="20">
        <v>13.40922754</v>
      </c>
      <c r="G31" s="18">
        <v>1.0195049400000051</v>
      </c>
      <c r="H31" s="21">
        <v>56.056340689999999</v>
      </c>
      <c r="I31" s="2">
        <v>0</v>
      </c>
      <c r="J31" s="14">
        <v>1.9424597699999999</v>
      </c>
      <c r="K31" s="14">
        <v>7.4577154299999995</v>
      </c>
      <c r="L31" s="14">
        <v>21.256325420000003</v>
      </c>
      <c r="M31" s="14">
        <v>12.064649119999999</v>
      </c>
      <c r="N31" s="14">
        <v>19.078087979999999</v>
      </c>
      <c r="O31" s="14">
        <v>0.65860799999999997</v>
      </c>
      <c r="P31" s="21">
        <v>62.457845720000002</v>
      </c>
      <c r="Q31" s="69"/>
      <c r="R31" s="62">
        <v>0</v>
      </c>
      <c r="S31" s="62">
        <v>0</v>
      </c>
    </row>
    <row r="32" spans="1:25" x14ac:dyDescent="0.25">
      <c r="A32" s="11" t="s">
        <v>23</v>
      </c>
      <c r="B32" s="18">
        <v>42.465849270000007</v>
      </c>
      <c r="C32" s="18">
        <v>0</v>
      </c>
      <c r="D32" s="18">
        <v>0</v>
      </c>
      <c r="E32" s="18">
        <v>9.5490673599999987</v>
      </c>
      <c r="F32" s="18">
        <v>0</v>
      </c>
      <c r="G32" s="18">
        <v>0</v>
      </c>
      <c r="H32" s="19">
        <v>52.259875289999997</v>
      </c>
      <c r="I32" s="2">
        <v>0</v>
      </c>
      <c r="J32" s="9">
        <v>33.55274094</v>
      </c>
      <c r="K32" s="9">
        <v>0</v>
      </c>
      <c r="L32" s="9">
        <v>0</v>
      </c>
      <c r="M32" s="9">
        <v>10.07190636</v>
      </c>
      <c r="N32" s="9">
        <v>0</v>
      </c>
      <c r="O32" s="9">
        <v>0</v>
      </c>
      <c r="P32" s="19">
        <v>43.854294909999993</v>
      </c>
      <c r="Q32" s="68"/>
      <c r="R32" s="62">
        <v>0</v>
      </c>
      <c r="S32" s="62">
        <v>0</v>
      </c>
    </row>
    <row r="33" spans="1:19" x14ac:dyDescent="0.25">
      <c r="A33" s="8" t="s">
        <v>24</v>
      </c>
      <c r="B33" s="20">
        <v>1.50316849</v>
      </c>
      <c r="C33" s="20">
        <v>10.129516089999999</v>
      </c>
      <c r="D33" s="18">
        <v>0</v>
      </c>
      <c r="E33" s="20">
        <v>10.155290939999999</v>
      </c>
      <c r="F33" s="20">
        <v>4.7162815999999994</v>
      </c>
      <c r="G33" s="20">
        <v>0</v>
      </c>
      <c r="H33" s="19">
        <v>26.534265120000001</v>
      </c>
      <c r="I33" s="2">
        <v>0</v>
      </c>
      <c r="J33" s="14">
        <v>0.92647331000000011</v>
      </c>
      <c r="K33" s="14">
        <v>9.0364750399999991</v>
      </c>
      <c r="L33" s="9">
        <v>0</v>
      </c>
      <c r="M33" s="14">
        <v>11.013120900000001</v>
      </c>
      <c r="N33" s="14">
        <v>7.4061655000000002</v>
      </c>
      <c r="O33" s="14">
        <v>0</v>
      </c>
      <c r="P33" s="19">
        <v>28.383380219999999</v>
      </c>
      <c r="Q33" s="68"/>
      <c r="R33" s="62">
        <v>0</v>
      </c>
      <c r="S33" s="62">
        <v>0</v>
      </c>
    </row>
    <row r="34" spans="1:19" hidden="1" x14ac:dyDescent="0.25">
      <c r="A34" s="11" t="s">
        <v>25</v>
      </c>
      <c r="B34" s="18">
        <v>12.592622130000001</v>
      </c>
      <c r="C34" s="18">
        <v>0.32418323999999998</v>
      </c>
      <c r="D34" s="18">
        <v>0</v>
      </c>
      <c r="E34" s="18">
        <v>0.90953668999999993</v>
      </c>
      <c r="F34" s="18">
        <v>3.3303099999999995E-2</v>
      </c>
      <c r="G34" s="18">
        <v>0</v>
      </c>
      <c r="H34" s="19">
        <v>13.859645159999999</v>
      </c>
      <c r="I34" s="2">
        <v>0</v>
      </c>
      <c r="J34" s="9">
        <v>13.954403970000001</v>
      </c>
      <c r="K34" s="9">
        <v>0.48557073000000001</v>
      </c>
      <c r="L34" s="9">
        <v>0</v>
      </c>
      <c r="M34" s="9">
        <v>1.0058317999999999</v>
      </c>
      <c r="N34" s="9">
        <v>3.4432129999999998E-2</v>
      </c>
      <c r="O34" s="14">
        <v>0</v>
      </c>
      <c r="P34" s="19">
        <v>15.681046630000001</v>
      </c>
      <c r="Q34" s="68"/>
      <c r="R34" s="62">
        <v>0</v>
      </c>
      <c r="S34" s="62">
        <v>0</v>
      </c>
    </row>
    <row r="35" spans="1:19" ht="14" x14ac:dyDescent="0.25">
      <c r="A35" s="8" t="s">
        <v>47</v>
      </c>
      <c r="B35" s="18">
        <v>12.592622129999995</v>
      </c>
      <c r="C35" s="18">
        <v>2.0065431599999966</v>
      </c>
      <c r="D35" s="18">
        <v>0</v>
      </c>
      <c r="E35" s="18">
        <v>1.4049589400000051</v>
      </c>
      <c r="F35" s="18">
        <v>1.1994391000000053</v>
      </c>
      <c r="G35" s="18">
        <v>0</v>
      </c>
      <c r="H35" s="19">
        <v>17.203563330000012</v>
      </c>
      <c r="I35" s="2">
        <v>0</v>
      </c>
      <c r="J35" s="9">
        <v>13.077417929999992</v>
      </c>
      <c r="K35" s="9">
        <v>9.2671933000000042</v>
      </c>
      <c r="L35" s="9">
        <v>0</v>
      </c>
      <c r="M35" s="9">
        <v>1.1453913700000047</v>
      </c>
      <c r="N35" s="9">
        <v>1.597962339999996</v>
      </c>
      <c r="O35" s="14">
        <v>0</v>
      </c>
      <c r="P35" s="19">
        <v>25.288772939999998</v>
      </c>
      <c r="Q35" s="68"/>
      <c r="R35" s="62">
        <v>0</v>
      </c>
      <c r="S35" s="62">
        <v>0</v>
      </c>
    </row>
    <row r="36" spans="1:19" s="100" customFormat="1" x14ac:dyDescent="0.25">
      <c r="A36" s="95" t="s">
        <v>37</v>
      </c>
      <c r="B36" s="96"/>
      <c r="C36" s="96"/>
      <c r="D36" s="96"/>
      <c r="E36" s="96"/>
      <c r="F36" s="96"/>
      <c r="G36" s="96"/>
      <c r="H36" s="96"/>
      <c r="J36" s="98"/>
      <c r="K36" s="98"/>
      <c r="L36" s="98"/>
      <c r="M36" s="98"/>
      <c r="N36" s="98"/>
      <c r="O36" s="98"/>
      <c r="P36" s="96"/>
      <c r="Q36" s="96"/>
      <c r="R36" s="99">
        <v>0</v>
      </c>
      <c r="S36" s="99">
        <v>0</v>
      </c>
    </row>
    <row r="37" spans="1:19" x14ac:dyDescent="0.25">
      <c r="A37" s="8" t="s">
        <v>26</v>
      </c>
      <c r="B37" s="18">
        <v>0</v>
      </c>
      <c r="C37" s="18">
        <v>11.67135504</v>
      </c>
      <c r="D37" s="18">
        <v>8.1857469999999992</v>
      </c>
      <c r="E37" s="18">
        <v>14.83465049</v>
      </c>
      <c r="F37" s="18">
        <v>20.920213850000003</v>
      </c>
      <c r="G37" s="18">
        <v>0</v>
      </c>
      <c r="H37" s="19">
        <v>55.611966380000005</v>
      </c>
      <c r="I37" s="2">
        <v>0</v>
      </c>
      <c r="J37" s="9">
        <v>0</v>
      </c>
      <c r="K37" s="9">
        <v>9.8997100800000002</v>
      </c>
      <c r="L37" s="9">
        <v>9.7058121899999996</v>
      </c>
      <c r="M37" s="9">
        <v>16.731480000000001</v>
      </c>
      <c r="N37" s="9">
        <v>23.861991719999999</v>
      </c>
      <c r="O37" s="9">
        <v>0</v>
      </c>
      <c r="P37" s="19">
        <v>60.198993990000005</v>
      </c>
      <c r="Q37" s="68"/>
      <c r="R37" s="62">
        <v>0</v>
      </c>
      <c r="S37" s="62">
        <v>0</v>
      </c>
    </row>
    <row r="38" spans="1:19" x14ac:dyDescent="0.25">
      <c r="A38" s="8" t="s">
        <v>27</v>
      </c>
      <c r="B38" s="18">
        <v>1.6546078899999999</v>
      </c>
      <c r="C38" s="18">
        <v>8.0465716</v>
      </c>
      <c r="D38" s="18">
        <v>12.725228</v>
      </c>
      <c r="E38" s="18">
        <v>8.9456970800000004</v>
      </c>
      <c r="F38" s="18">
        <v>4.1746378100000001</v>
      </c>
      <c r="G38" s="18">
        <v>0</v>
      </c>
      <c r="H38" s="19">
        <v>35.546742380000005</v>
      </c>
      <c r="I38" s="2">
        <v>0</v>
      </c>
      <c r="J38" s="9">
        <v>0.8957212</v>
      </c>
      <c r="K38" s="9">
        <v>9.9461889199999991</v>
      </c>
      <c r="L38" s="9">
        <v>18.223029269999998</v>
      </c>
      <c r="M38" s="9">
        <v>9.5777596799999998</v>
      </c>
      <c r="N38" s="9">
        <v>4.3973757999999998</v>
      </c>
      <c r="O38" s="9">
        <v>0</v>
      </c>
      <c r="P38" s="19">
        <v>43.040074869999998</v>
      </c>
      <c r="Q38" s="68"/>
      <c r="R38" s="62">
        <v>0</v>
      </c>
      <c r="S38" s="62">
        <v>0</v>
      </c>
    </row>
    <row r="39" spans="1:19" x14ac:dyDescent="0.25">
      <c r="A39" s="8" t="s">
        <v>28</v>
      </c>
      <c r="B39" s="18">
        <v>0</v>
      </c>
      <c r="C39" s="18">
        <v>1.0508968400000001</v>
      </c>
      <c r="D39" s="18">
        <v>6.831029</v>
      </c>
      <c r="E39" s="18">
        <v>6.2817864400000003</v>
      </c>
      <c r="F39" s="18">
        <v>23.097714910000001</v>
      </c>
      <c r="G39" s="18">
        <v>-6.2459902599999984</v>
      </c>
      <c r="H39" s="19">
        <v>31.01543693</v>
      </c>
      <c r="I39" s="2">
        <v>0</v>
      </c>
      <c r="J39" s="9">
        <v>0</v>
      </c>
      <c r="K39" s="9">
        <v>0.96788457999999999</v>
      </c>
      <c r="L39" s="9">
        <v>6.7992484500000003</v>
      </c>
      <c r="M39" s="9">
        <v>6.3007641599999999</v>
      </c>
      <c r="N39" s="9">
        <v>19.258153960000001</v>
      </c>
      <c r="O39" s="9">
        <v>0</v>
      </c>
      <c r="P39" s="19">
        <v>33.326051149999998</v>
      </c>
      <c r="Q39" s="68"/>
      <c r="R39" s="62">
        <v>0</v>
      </c>
      <c r="S39" s="62">
        <v>0</v>
      </c>
    </row>
    <row r="40" spans="1:19" hidden="1" x14ac:dyDescent="0.25">
      <c r="A40" s="11" t="s">
        <v>29</v>
      </c>
      <c r="B40" s="18">
        <v>0</v>
      </c>
      <c r="C40" s="18">
        <v>5.0182157800000002</v>
      </c>
      <c r="D40" s="18">
        <v>0</v>
      </c>
      <c r="E40" s="18">
        <v>11.036948089999999</v>
      </c>
      <c r="F40" s="18">
        <v>1.6377963600000001</v>
      </c>
      <c r="G40" s="18">
        <v>0</v>
      </c>
      <c r="H40" s="19">
        <v>17.7176355</v>
      </c>
      <c r="I40" s="2">
        <v>0</v>
      </c>
      <c r="J40" s="9">
        <v>0</v>
      </c>
      <c r="K40" s="9">
        <v>6.6209897199999999</v>
      </c>
      <c r="L40" s="9">
        <v>0</v>
      </c>
      <c r="M40" s="9">
        <v>12.359156689999999</v>
      </c>
      <c r="N40" s="9">
        <v>2.7242760099999996</v>
      </c>
      <c r="O40" s="9">
        <v>0</v>
      </c>
      <c r="P40" s="19">
        <v>21.972682160000002</v>
      </c>
      <c r="Q40" s="68"/>
      <c r="R40" s="62">
        <v>0</v>
      </c>
      <c r="S40" s="62">
        <v>0</v>
      </c>
    </row>
    <row r="41" spans="1:19" s="12" customFormat="1" ht="14" x14ac:dyDescent="0.25">
      <c r="A41" s="11" t="s">
        <v>46</v>
      </c>
      <c r="B41" s="18">
        <v>5.5528318700000003</v>
      </c>
      <c r="C41" s="18">
        <v>9.8044446399999998</v>
      </c>
      <c r="D41" s="18">
        <v>0</v>
      </c>
      <c r="E41" s="18">
        <v>36.225799730000006</v>
      </c>
      <c r="F41" s="18">
        <v>12.730797670000001</v>
      </c>
      <c r="G41" s="18">
        <v>-1.543201590000026</v>
      </c>
      <c r="H41" s="19">
        <v>62.770672319999996</v>
      </c>
      <c r="I41" s="12">
        <v>0</v>
      </c>
      <c r="J41" s="9">
        <v>3.9154798999999993</v>
      </c>
      <c r="K41" s="9">
        <v>14.122466260000005</v>
      </c>
      <c r="L41" s="9">
        <v>0</v>
      </c>
      <c r="M41" s="9">
        <v>38.866946349999992</v>
      </c>
      <c r="N41" s="9">
        <v>14.962312259999997</v>
      </c>
      <c r="O41" s="9">
        <v>0</v>
      </c>
      <c r="P41" s="19">
        <v>71.867204770000015</v>
      </c>
      <c r="Q41" s="68"/>
      <c r="R41" s="62">
        <v>0</v>
      </c>
      <c r="S41" s="62">
        <v>0</v>
      </c>
    </row>
    <row r="42" spans="1:19" s="97" customFormat="1" x14ac:dyDescent="0.25">
      <c r="A42" s="95" t="s">
        <v>2</v>
      </c>
      <c r="B42" s="96"/>
      <c r="C42" s="96"/>
      <c r="D42" s="96"/>
      <c r="E42" s="96"/>
      <c r="F42" s="96"/>
      <c r="G42" s="96"/>
      <c r="H42" s="96"/>
      <c r="J42" s="98"/>
      <c r="K42" s="98"/>
      <c r="L42" s="98"/>
      <c r="M42" s="98"/>
      <c r="N42" s="98"/>
      <c r="O42" s="98"/>
      <c r="P42" s="96"/>
      <c r="Q42" s="96"/>
      <c r="R42" s="99">
        <v>0</v>
      </c>
      <c r="S42" s="99">
        <v>0</v>
      </c>
    </row>
    <row r="43" spans="1:19" x14ac:dyDescent="0.25">
      <c r="A43" s="8" t="s">
        <v>30</v>
      </c>
      <c r="B43" s="18">
        <v>0</v>
      </c>
      <c r="C43" s="18">
        <v>3.39331563</v>
      </c>
      <c r="D43" s="18">
        <v>17.198277000000001</v>
      </c>
      <c r="E43" s="18">
        <v>2.0561587499999998</v>
      </c>
      <c r="F43" s="18">
        <v>0.65011017000000004</v>
      </c>
      <c r="G43" s="18">
        <v>0</v>
      </c>
      <c r="H43" s="19">
        <v>23.587348440000003</v>
      </c>
      <c r="I43" s="2">
        <v>0</v>
      </c>
      <c r="J43" s="9">
        <v>0</v>
      </c>
      <c r="K43" s="9">
        <v>2.4507992599999997</v>
      </c>
      <c r="L43" s="9">
        <v>18.882881699999999</v>
      </c>
      <c r="M43" s="9">
        <v>3.1578593800000001</v>
      </c>
      <c r="N43" s="9">
        <v>0.78296544999999995</v>
      </c>
      <c r="O43" s="9">
        <v>0</v>
      </c>
      <c r="P43" s="19">
        <v>25.54838488</v>
      </c>
      <c r="Q43" s="68"/>
      <c r="R43" s="62">
        <v>0</v>
      </c>
      <c r="S43" s="62">
        <v>0</v>
      </c>
    </row>
    <row r="44" spans="1:19" x14ac:dyDescent="0.25">
      <c r="A44" s="8" t="s">
        <v>31</v>
      </c>
      <c r="B44" s="18">
        <v>1.9200926999999999</v>
      </c>
      <c r="C44" s="18">
        <v>12.494458359999999</v>
      </c>
      <c r="D44" s="18">
        <v>11.948191</v>
      </c>
      <c r="E44" s="18">
        <v>2.7756276500000001</v>
      </c>
      <c r="F44" s="18">
        <v>0</v>
      </c>
      <c r="G44" s="18">
        <v>0</v>
      </c>
      <c r="H44" s="19">
        <v>29.60530795</v>
      </c>
      <c r="I44" s="2">
        <v>0</v>
      </c>
      <c r="J44" s="9">
        <v>4.3599994899999999</v>
      </c>
      <c r="K44" s="9">
        <v>15.50932091</v>
      </c>
      <c r="L44" s="9">
        <v>11.021837489999999</v>
      </c>
      <c r="M44" s="9">
        <v>3.89920183</v>
      </c>
      <c r="N44" s="9">
        <v>0.84546147999999999</v>
      </c>
      <c r="O44" s="9">
        <v>0</v>
      </c>
      <c r="P44" s="19">
        <v>35.635821200000002</v>
      </c>
      <c r="Q44" s="68"/>
      <c r="R44" s="62">
        <v>0</v>
      </c>
      <c r="S44" s="62">
        <v>0</v>
      </c>
    </row>
    <row r="45" spans="1:19" hidden="1" x14ac:dyDescent="0.25">
      <c r="A45" s="8" t="s">
        <v>33</v>
      </c>
      <c r="B45" s="18">
        <v>-0.61309462000000003</v>
      </c>
      <c r="C45" s="18">
        <v>3.1835642900000001</v>
      </c>
      <c r="D45" s="18">
        <v>0.54575799999999997</v>
      </c>
      <c r="E45" s="18">
        <v>11.61546437</v>
      </c>
      <c r="F45" s="18">
        <v>1.7392780700000001</v>
      </c>
      <c r="G45" s="18">
        <v>0</v>
      </c>
      <c r="H45" s="19">
        <v>16.47097011</v>
      </c>
      <c r="I45" s="2">
        <v>0</v>
      </c>
      <c r="J45" s="9">
        <v>0</v>
      </c>
      <c r="K45" s="9">
        <v>3.57852273</v>
      </c>
      <c r="L45" s="9">
        <v>0</v>
      </c>
      <c r="M45" s="9">
        <v>13.26127485</v>
      </c>
      <c r="N45" s="9">
        <v>0.5147043</v>
      </c>
      <c r="O45" s="9">
        <v>0</v>
      </c>
      <c r="P45" s="19">
        <v>17.466822319999999</v>
      </c>
      <c r="Q45" s="68"/>
      <c r="R45" s="62">
        <v>0</v>
      </c>
      <c r="S45" s="62">
        <v>0</v>
      </c>
    </row>
    <row r="46" spans="1:19" hidden="1" x14ac:dyDescent="0.25">
      <c r="A46" s="8" t="s">
        <v>32</v>
      </c>
      <c r="B46" s="18">
        <v>0.50184534000000003</v>
      </c>
      <c r="C46" s="18">
        <v>2.9161698</v>
      </c>
      <c r="D46" s="18">
        <v>2.0797020000000002</v>
      </c>
      <c r="E46" s="18">
        <v>5.1129137999999994</v>
      </c>
      <c r="F46" s="18">
        <v>2.2924957999999998</v>
      </c>
      <c r="G46" s="18">
        <v>0</v>
      </c>
      <c r="H46" s="19">
        <v>12.903126739999999</v>
      </c>
      <c r="I46" s="2">
        <v>0</v>
      </c>
      <c r="J46" s="9">
        <v>0.61310330000000002</v>
      </c>
      <c r="K46" s="9">
        <v>3.6797337099999998</v>
      </c>
      <c r="L46" s="9">
        <v>4.6219146100000001</v>
      </c>
      <c r="M46" s="9">
        <v>4.4400139800000007</v>
      </c>
      <c r="N46" s="9">
        <v>1.2005775300000001</v>
      </c>
      <c r="O46" s="9">
        <v>0</v>
      </c>
      <c r="P46" s="19">
        <v>14.555343130000001</v>
      </c>
      <c r="Q46" s="68"/>
      <c r="R46" s="62">
        <v>0</v>
      </c>
      <c r="S46" s="62">
        <v>0</v>
      </c>
    </row>
    <row r="47" spans="1:19" s="12" customFormat="1" ht="14" x14ac:dyDescent="0.25">
      <c r="A47" s="11" t="s">
        <v>44</v>
      </c>
      <c r="B47" s="18">
        <v>3.1630050600000006</v>
      </c>
      <c r="C47" s="18">
        <v>16.649498100000002</v>
      </c>
      <c r="D47" s="18">
        <v>4.8949364399999977</v>
      </c>
      <c r="E47" s="18">
        <v>41.680392079999997</v>
      </c>
      <c r="F47" s="18">
        <v>8.63448335</v>
      </c>
      <c r="G47" s="18">
        <v>0</v>
      </c>
      <c r="H47" s="19">
        <v>75.024202979999998</v>
      </c>
      <c r="I47" s="12">
        <v>0</v>
      </c>
      <c r="J47" s="9">
        <v>7.7414125999999994</v>
      </c>
      <c r="K47" s="9">
        <v>23.66906153</v>
      </c>
      <c r="L47" s="9">
        <v>6.4599257300000046</v>
      </c>
      <c r="M47" s="9">
        <v>50.672665100000003</v>
      </c>
      <c r="N47" s="9">
        <v>9.0014126000000001</v>
      </c>
      <c r="O47" s="9">
        <v>-0.62806427000001075</v>
      </c>
      <c r="P47" s="19">
        <v>96.916413290000008</v>
      </c>
      <c r="Q47" s="68"/>
      <c r="R47" s="62">
        <v>0</v>
      </c>
      <c r="S47" s="62">
        <v>0</v>
      </c>
    </row>
    <row r="48" spans="1:19" s="12" customFormat="1" ht="14" x14ac:dyDescent="0.25">
      <c r="A48" s="16" t="s">
        <v>45</v>
      </c>
      <c r="B48" s="18">
        <v>-1.1624147</v>
      </c>
      <c r="C48" s="18">
        <v>0</v>
      </c>
      <c r="D48" s="18">
        <v>0</v>
      </c>
      <c r="E48" s="18">
        <v>3.3380574699999999</v>
      </c>
      <c r="F48" s="18">
        <v>0</v>
      </c>
      <c r="G48" s="18">
        <v>27.649580510000003</v>
      </c>
      <c r="H48" s="19">
        <v>30.04690278</v>
      </c>
      <c r="I48" s="12">
        <v>0</v>
      </c>
      <c r="J48" s="9">
        <v>-2.8119026300000001</v>
      </c>
      <c r="K48" s="9">
        <v>0</v>
      </c>
      <c r="L48" s="9">
        <v>0</v>
      </c>
      <c r="M48" s="9">
        <v>-8.7849744899999997</v>
      </c>
      <c r="N48" s="9">
        <v>0</v>
      </c>
      <c r="O48" s="9">
        <v>44.24856905</v>
      </c>
      <c r="P48" s="19">
        <v>32.684293889999999</v>
      </c>
      <c r="Q48" s="68"/>
      <c r="R48" s="62">
        <v>0</v>
      </c>
      <c r="S48" s="62">
        <v>0</v>
      </c>
    </row>
    <row r="49" spans="1:19" ht="12" thickBot="1" x14ac:dyDescent="0.3">
      <c r="A49" s="1" t="s">
        <v>40</v>
      </c>
      <c r="B49" s="28">
        <v>394.10657087999999</v>
      </c>
      <c r="C49" s="28">
        <v>255.56454565000001</v>
      </c>
      <c r="D49" s="28">
        <v>195.77191361999999</v>
      </c>
      <c r="E49" s="28">
        <v>388.63667552999999</v>
      </c>
      <c r="F49" s="28">
        <v>230.11649365</v>
      </c>
      <c r="G49" s="28">
        <v>20.881781550000191</v>
      </c>
      <c r="H49" s="29">
        <v>1485.07798088</v>
      </c>
      <c r="I49" s="30">
        <v>0</v>
      </c>
      <c r="J49" s="28">
        <v>345.08586377</v>
      </c>
      <c r="K49" s="28">
        <v>299.09194007999997</v>
      </c>
      <c r="L49" s="28">
        <v>239.64341668</v>
      </c>
      <c r="M49" s="28">
        <v>427.40315894999998</v>
      </c>
      <c r="N49" s="28">
        <v>247.70370255</v>
      </c>
      <c r="O49" s="28">
        <v>44.577711100000144</v>
      </c>
      <c r="P49" s="29">
        <v>1603.50579313</v>
      </c>
      <c r="Q49" s="70"/>
      <c r="R49" s="62">
        <v>0</v>
      </c>
      <c r="S49" s="62">
        <v>0</v>
      </c>
    </row>
    <row r="50" spans="1:19" ht="12" thickTop="1" x14ac:dyDescent="0.25"/>
    <row r="51" spans="1:19" x14ac:dyDescent="0.25">
      <c r="A51" s="17" t="s">
        <v>41</v>
      </c>
    </row>
    <row r="52" spans="1:19" ht="14" x14ac:dyDescent="0.25">
      <c r="A52" s="17" t="s">
        <v>42</v>
      </c>
    </row>
    <row r="53" spans="1:19" ht="14" x14ac:dyDescent="0.25">
      <c r="A53" s="17" t="s">
        <v>43</v>
      </c>
    </row>
    <row r="55" spans="1:19" hidden="1" x14ac:dyDescent="0.25">
      <c r="A55" s="2" t="s">
        <v>64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2.1316282072803006E-13</v>
      </c>
      <c r="H55" s="62">
        <v>0</v>
      </c>
      <c r="I55" s="62">
        <v>-3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9.9475983006414026E-14</v>
      </c>
      <c r="P55" s="62">
        <v>0</v>
      </c>
      <c r="Q55" s="72"/>
    </row>
  </sheetData>
  <mergeCells count="3">
    <mergeCell ref="B3:P3"/>
    <mergeCell ref="B4:H4"/>
    <mergeCell ref="J4:P4"/>
  </mergeCells>
  <pageMargins left="0.7" right="0.7" top="0.75" bottom="0.75" header="0.3" footer="0.3"/>
  <pageSetup scale="68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8483-0114-4E09-AC61-2989372414FC}">
  <sheetPr codeName="Sheet5"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1640625" defaultRowHeight="11.5" x14ac:dyDescent="0.25"/>
  <cols>
    <col min="1" max="1" width="37.7265625" style="2" customWidth="1"/>
    <col min="2" max="8" width="8.7265625" style="2" customWidth="1"/>
    <col min="9" max="9" width="1.26953125" style="2" customWidth="1"/>
    <col min="10" max="16" width="8.7265625" style="2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53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90">
        <v>2021</v>
      </c>
      <c r="C4" s="90"/>
      <c r="D4" s="90"/>
      <c r="E4" s="90"/>
      <c r="F4" s="90"/>
      <c r="G4" s="90"/>
      <c r="H4" s="90"/>
      <c r="J4" s="88">
        <v>2020</v>
      </c>
      <c r="K4" s="88"/>
      <c r="L4" s="88"/>
      <c r="M4" s="88"/>
      <c r="N4" s="88"/>
      <c r="O4" s="88"/>
      <c r="P4" s="88"/>
    </row>
    <row r="5" spans="1:16" s="1" customFormat="1" ht="46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v>128.51855108000001</v>
      </c>
      <c r="C7" s="22">
        <v>6.4645742100000003</v>
      </c>
      <c r="D7" s="22">
        <v>0.10955158999999999</v>
      </c>
      <c r="E7" s="22">
        <v>23.918765829999998</v>
      </c>
      <c r="F7" s="22">
        <v>25.412747589999999</v>
      </c>
      <c r="G7" s="22">
        <v>0</v>
      </c>
      <c r="H7" s="23">
        <v>184.42419030000002</v>
      </c>
      <c r="I7" s="24"/>
      <c r="J7" s="24">
        <v>87.41671070999999</v>
      </c>
      <c r="K7" s="24">
        <v>5.07943985</v>
      </c>
      <c r="L7" s="24">
        <v>4.8921249999999999E-2</v>
      </c>
      <c r="M7" s="24">
        <v>8.5016320899999993</v>
      </c>
      <c r="N7" s="24">
        <v>30.81403384</v>
      </c>
      <c r="O7" s="24">
        <v>0</v>
      </c>
      <c r="P7" s="25">
        <v>131.86073887000001</v>
      </c>
    </row>
    <row r="8" spans="1:16" x14ac:dyDescent="0.25">
      <c r="A8" s="8" t="s">
        <v>9</v>
      </c>
      <c r="B8" s="18">
        <v>26.5870937</v>
      </c>
      <c r="C8" s="18">
        <v>6.7030715399999998</v>
      </c>
      <c r="D8" s="18">
        <v>18.091290409999999</v>
      </c>
      <c r="E8" s="18">
        <v>12.42272307</v>
      </c>
      <c r="F8" s="18">
        <v>0.98342018999999992</v>
      </c>
      <c r="G8" s="18">
        <v>0</v>
      </c>
      <c r="H8" s="19">
        <v>64.78759891</v>
      </c>
      <c r="J8" s="9">
        <v>19.649571379999998</v>
      </c>
      <c r="K8" s="9">
        <v>8.0114354800000012</v>
      </c>
      <c r="L8" s="9">
        <v>10.322147019999999</v>
      </c>
      <c r="M8" s="9">
        <v>4.4023359699999993</v>
      </c>
      <c r="N8" s="9">
        <v>1.33646555</v>
      </c>
      <c r="O8" s="18">
        <v>0</v>
      </c>
      <c r="P8" s="10">
        <v>43.721956179999999</v>
      </c>
    </row>
    <row r="9" spans="1:16" x14ac:dyDescent="0.25">
      <c r="A9" s="8" t="s">
        <v>8</v>
      </c>
      <c r="B9" s="18">
        <v>25.55313185</v>
      </c>
      <c r="C9" s="18">
        <v>0.94896392000000007</v>
      </c>
      <c r="D9" s="18">
        <v>0</v>
      </c>
      <c r="E9" s="18">
        <v>19.707787570000001</v>
      </c>
      <c r="F9" s="18">
        <v>6.8645979800000001</v>
      </c>
      <c r="G9" s="18">
        <v>0</v>
      </c>
      <c r="H9" s="19">
        <v>53.074481320000004</v>
      </c>
      <c r="J9" s="9">
        <v>35.030728530000005</v>
      </c>
      <c r="K9" s="9">
        <v>1.96931569</v>
      </c>
      <c r="L9" s="9">
        <v>0</v>
      </c>
      <c r="M9" s="9">
        <v>20.316112370000003</v>
      </c>
      <c r="N9" s="9">
        <v>5.6012389900000006</v>
      </c>
      <c r="O9" s="18">
        <v>0</v>
      </c>
      <c r="P9" s="10">
        <v>62.917396270000005</v>
      </c>
    </row>
    <row r="10" spans="1:16" x14ac:dyDescent="0.25">
      <c r="A10" s="8" t="s">
        <v>52</v>
      </c>
      <c r="B10" s="18">
        <v>5.4046786900000008</v>
      </c>
      <c r="C10" s="18">
        <v>5.7622817599999996</v>
      </c>
      <c r="D10" s="18">
        <v>6.9597013399999996</v>
      </c>
      <c r="E10" s="18">
        <v>10.09207265</v>
      </c>
      <c r="F10" s="18">
        <v>2.4716331600000001</v>
      </c>
      <c r="G10" s="18">
        <v>0</v>
      </c>
      <c r="H10" s="19">
        <v>30.690367600000002</v>
      </c>
      <c r="J10" s="9">
        <v>3.2686207500000002</v>
      </c>
      <c r="K10" s="9">
        <v>4.3429578700000002</v>
      </c>
      <c r="L10" s="9">
        <v>3.1562022000000001</v>
      </c>
      <c r="M10" s="9">
        <v>3.1846953300000003</v>
      </c>
      <c r="N10" s="9">
        <v>0.15894848</v>
      </c>
      <c r="O10" s="18">
        <v>0</v>
      </c>
      <c r="P10" s="10">
        <v>14.11142512</v>
      </c>
    </row>
    <row r="11" spans="1:16" x14ac:dyDescent="0.25">
      <c r="A11" s="8" t="s">
        <v>10</v>
      </c>
      <c r="B11" s="18">
        <v>0</v>
      </c>
      <c r="C11" s="18">
        <v>0.58643031000000001</v>
      </c>
      <c r="D11" s="18">
        <v>0</v>
      </c>
      <c r="E11" s="18">
        <v>10.8663744</v>
      </c>
      <c r="F11" s="18">
        <v>6.0830216799999999</v>
      </c>
      <c r="G11" s="18">
        <v>0</v>
      </c>
      <c r="H11" s="19">
        <v>17.53582639</v>
      </c>
      <c r="J11" s="9">
        <v>0</v>
      </c>
      <c r="K11" s="9">
        <v>0.42701042</v>
      </c>
      <c r="L11" s="9">
        <v>0</v>
      </c>
      <c r="M11" s="9">
        <v>9.6086084199999995</v>
      </c>
      <c r="N11" s="9">
        <v>5.3724692999999997</v>
      </c>
      <c r="O11" s="18">
        <v>0</v>
      </c>
      <c r="P11" s="10">
        <v>15.40808859</v>
      </c>
    </row>
    <row r="12" spans="1:16" s="12" customFormat="1" ht="14" x14ac:dyDescent="0.25">
      <c r="A12" s="11" t="s">
        <v>50</v>
      </c>
      <c r="B12" s="18">
        <v>22.986732929999988</v>
      </c>
      <c r="C12" s="18">
        <v>17.064780570000003</v>
      </c>
      <c r="D12" s="18">
        <v>0</v>
      </c>
      <c r="E12" s="18">
        <v>11.743728939999997</v>
      </c>
      <c r="F12" s="18">
        <v>13.965777729999992</v>
      </c>
      <c r="G12" s="18">
        <v>0</v>
      </c>
      <c r="H12" s="19">
        <v>66.19764164999998</v>
      </c>
      <c r="J12" s="9">
        <v>53.579842930000012</v>
      </c>
      <c r="K12" s="9">
        <v>12.310612480000003</v>
      </c>
      <c r="L12" s="9">
        <v>0</v>
      </c>
      <c r="M12" s="9">
        <v>7.6862016600000018</v>
      </c>
      <c r="N12" s="9">
        <v>7.9984550400000032</v>
      </c>
      <c r="O12" s="18">
        <v>0</v>
      </c>
      <c r="P12" s="10">
        <v>81.575112969999964</v>
      </c>
    </row>
    <row r="13" spans="1:16" s="12" customFormat="1" x14ac:dyDescent="0.25">
      <c r="A13" s="6" t="s">
        <v>12</v>
      </c>
      <c r="B13" s="18"/>
      <c r="C13" s="18"/>
      <c r="D13" s="18"/>
      <c r="E13" s="18"/>
      <c r="F13" s="18"/>
      <c r="G13" s="18"/>
      <c r="H13" s="19"/>
      <c r="J13" s="9"/>
      <c r="K13" s="9"/>
      <c r="L13" s="9"/>
      <c r="M13" s="9"/>
      <c r="N13" s="9"/>
      <c r="O13" s="9"/>
      <c r="P13" s="10"/>
    </row>
    <row r="14" spans="1:16" x14ac:dyDescent="0.25">
      <c r="A14" s="8" t="s">
        <v>11</v>
      </c>
      <c r="B14" s="18">
        <v>35.76553783</v>
      </c>
      <c r="C14" s="18">
        <v>1.8410143999999999</v>
      </c>
      <c r="D14" s="18">
        <v>0</v>
      </c>
      <c r="E14" s="18">
        <v>5.03696374</v>
      </c>
      <c r="F14" s="18">
        <v>0</v>
      </c>
      <c r="G14" s="18">
        <v>0</v>
      </c>
      <c r="H14" s="19">
        <v>42.643515969999996</v>
      </c>
      <c r="J14" s="9">
        <v>27.519320309999998</v>
      </c>
      <c r="K14" s="9">
        <v>0.19700242000000001</v>
      </c>
      <c r="L14" s="9">
        <v>0</v>
      </c>
      <c r="M14" s="9">
        <v>2.6257762699999998</v>
      </c>
      <c r="N14" s="9">
        <v>0</v>
      </c>
      <c r="O14" s="9">
        <v>0</v>
      </c>
      <c r="P14" s="10">
        <v>30.342098960000001</v>
      </c>
    </row>
    <row r="15" spans="1:16" x14ac:dyDescent="0.25">
      <c r="A15" s="8" t="s">
        <v>13</v>
      </c>
      <c r="B15" s="18">
        <v>7.3005096100000006</v>
      </c>
      <c r="C15" s="18">
        <v>0.27504715999999996</v>
      </c>
      <c r="D15" s="18">
        <v>0</v>
      </c>
      <c r="E15" s="18">
        <v>14.83813488</v>
      </c>
      <c r="F15" s="18">
        <v>0</v>
      </c>
      <c r="G15" s="18">
        <v>0</v>
      </c>
      <c r="H15" s="19">
        <v>22.413691649999997</v>
      </c>
      <c r="J15" s="9">
        <v>0</v>
      </c>
      <c r="K15" s="9">
        <v>0.26154067999999997</v>
      </c>
      <c r="L15" s="9">
        <v>0</v>
      </c>
      <c r="M15" s="9">
        <v>17.933688109999999</v>
      </c>
      <c r="N15" s="9">
        <v>0</v>
      </c>
      <c r="O15" s="9">
        <v>0</v>
      </c>
      <c r="P15" s="10">
        <v>18.627543249999999</v>
      </c>
    </row>
    <row r="16" spans="1:16" x14ac:dyDescent="0.25">
      <c r="A16" s="8" t="s">
        <v>14</v>
      </c>
      <c r="B16" s="18">
        <v>0</v>
      </c>
      <c r="C16" s="18">
        <v>4.7196636999999999</v>
      </c>
      <c r="D16" s="18">
        <v>0</v>
      </c>
      <c r="E16" s="18">
        <v>6.0336719500000005</v>
      </c>
      <c r="F16" s="18">
        <v>0</v>
      </c>
      <c r="G16" s="18">
        <v>0</v>
      </c>
      <c r="H16" s="19">
        <v>10.75333565</v>
      </c>
      <c r="J16" s="9">
        <v>0</v>
      </c>
      <c r="K16" s="9">
        <v>3.0667190099999999</v>
      </c>
      <c r="L16" s="9">
        <v>0</v>
      </c>
      <c r="M16" s="9">
        <v>4.135243</v>
      </c>
      <c r="N16" s="9">
        <v>3.8047968299999999</v>
      </c>
      <c r="O16" s="9">
        <v>0</v>
      </c>
      <c r="P16" s="10">
        <v>11.00675874</v>
      </c>
    </row>
    <row r="17" spans="1:16" ht="14" x14ac:dyDescent="0.25">
      <c r="A17" s="8" t="s">
        <v>49</v>
      </c>
      <c r="B17" s="18">
        <v>0</v>
      </c>
      <c r="C17" s="18">
        <v>1.1974578999999999</v>
      </c>
      <c r="D17" s="18">
        <v>0</v>
      </c>
      <c r="E17" s="18">
        <v>8.7072053599999961</v>
      </c>
      <c r="F17" s="18">
        <v>0</v>
      </c>
      <c r="G17" s="18">
        <v>0</v>
      </c>
      <c r="H17" s="19">
        <v>9.9046632600000208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</row>
    <row r="18" spans="1:16" x14ac:dyDescent="0.25">
      <c r="A18" s="6" t="s">
        <v>34</v>
      </c>
      <c r="B18" s="18"/>
      <c r="C18" s="18"/>
      <c r="D18" s="18"/>
      <c r="E18" s="18"/>
      <c r="F18" s="18"/>
      <c r="G18" s="18"/>
      <c r="H18" s="19"/>
      <c r="J18" s="9"/>
      <c r="K18" s="9"/>
      <c r="L18" s="9"/>
      <c r="M18" s="9"/>
      <c r="N18" s="9"/>
      <c r="O18" s="9"/>
      <c r="P18" s="10"/>
    </row>
    <row r="19" spans="1:16" x14ac:dyDescent="0.25">
      <c r="A19" s="13" t="s">
        <v>35</v>
      </c>
      <c r="B19" s="18"/>
      <c r="C19" s="18"/>
      <c r="D19" s="18"/>
      <c r="E19" s="18"/>
      <c r="F19" s="18"/>
      <c r="G19" s="18"/>
      <c r="H19" s="19"/>
      <c r="J19" s="9"/>
      <c r="K19" s="9"/>
      <c r="L19" s="9"/>
      <c r="M19" s="9"/>
      <c r="N19" s="9"/>
      <c r="O19" s="9"/>
      <c r="P19" s="10"/>
    </row>
    <row r="20" spans="1:16" x14ac:dyDescent="0.25">
      <c r="A20" s="8" t="s">
        <v>15</v>
      </c>
      <c r="B20" s="18">
        <v>1.76869528</v>
      </c>
      <c r="C20" s="18">
        <v>20.960918719999999</v>
      </c>
      <c r="D20" s="18">
        <v>41.966817399999996</v>
      </c>
      <c r="E20" s="18">
        <v>26.58686986</v>
      </c>
      <c r="F20" s="18">
        <v>7.3121979000000001</v>
      </c>
      <c r="G20" s="18">
        <v>0</v>
      </c>
      <c r="H20" s="19">
        <v>98.595499160000003</v>
      </c>
      <c r="J20" s="9">
        <v>-1.3226433500000001</v>
      </c>
      <c r="K20" s="9">
        <v>80.756552569999997</v>
      </c>
      <c r="L20" s="9">
        <v>27.403234569999999</v>
      </c>
      <c r="M20" s="9">
        <v>22.474006510000002</v>
      </c>
      <c r="N20" s="9">
        <v>7.4489639099999998</v>
      </c>
      <c r="O20" s="9">
        <v>0</v>
      </c>
      <c r="P20" s="10">
        <v>136.76011378999999</v>
      </c>
    </row>
    <row r="21" spans="1:16" x14ac:dyDescent="0.25">
      <c r="A21" s="11" t="s">
        <v>16</v>
      </c>
      <c r="B21" s="18">
        <v>2.4847597499999998</v>
      </c>
      <c r="C21" s="18">
        <v>10.572161150000001</v>
      </c>
      <c r="D21" s="18">
        <v>0.46986015000000003</v>
      </c>
      <c r="E21" s="18">
        <v>24.4227904</v>
      </c>
      <c r="F21" s="18">
        <v>6.9797053899999995</v>
      </c>
      <c r="G21" s="18">
        <v>0</v>
      </c>
      <c r="H21" s="19">
        <v>44.929276840000007</v>
      </c>
      <c r="J21" s="9">
        <v>2.0932237699999998</v>
      </c>
      <c r="K21" s="9">
        <v>7.9774024299999997</v>
      </c>
      <c r="L21" s="9">
        <v>0</v>
      </c>
      <c r="M21" s="9">
        <v>19.28660373</v>
      </c>
      <c r="N21" s="9">
        <v>8.9096518499999995</v>
      </c>
      <c r="O21" s="9">
        <v>0</v>
      </c>
      <c r="P21" s="10">
        <v>38.681151619999994</v>
      </c>
    </row>
    <row r="22" spans="1:16" x14ac:dyDescent="0.25">
      <c r="A22" s="8" t="s">
        <v>17</v>
      </c>
      <c r="B22" s="18">
        <v>0</v>
      </c>
      <c r="C22" s="18">
        <v>37.038231270000004</v>
      </c>
      <c r="D22" s="18">
        <v>0</v>
      </c>
      <c r="E22" s="18">
        <v>75.388609160000001</v>
      </c>
      <c r="F22" s="18">
        <v>8.8152251999999987</v>
      </c>
      <c r="G22" s="18">
        <v>0</v>
      </c>
      <c r="H22" s="19">
        <v>121.24206563</v>
      </c>
      <c r="J22" s="9">
        <v>0</v>
      </c>
      <c r="K22" s="9">
        <v>34.071714920000005</v>
      </c>
      <c r="L22" s="9">
        <v>0</v>
      </c>
      <c r="M22" s="9">
        <v>75.296428569999989</v>
      </c>
      <c r="N22" s="9">
        <v>6.0797663899999996</v>
      </c>
      <c r="O22" s="9">
        <v>0</v>
      </c>
      <c r="P22" s="10">
        <v>115.4479087</v>
      </c>
    </row>
    <row r="23" spans="1:16" x14ac:dyDescent="0.25">
      <c r="A23" s="8" t="s">
        <v>18</v>
      </c>
      <c r="B23" s="18">
        <v>0</v>
      </c>
      <c r="C23" s="18">
        <v>17.546773290000001</v>
      </c>
      <c r="D23" s="18">
        <v>0</v>
      </c>
      <c r="E23" s="18">
        <v>0</v>
      </c>
      <c r="F23" s="18">
        <v>0.11918384</v>
      </c>
      <c r="G23" s="18">
        <v>0</v>
      </c>
      <c r="H23" s="19">
        <v>17.665957129999999</v>
      </c>
      <c r="J23" s="9">
        <v>0</v>
      </c>
      <c r="K23" s="9">
        <v>30.511877350000002</v>
      </c>
      <c r="L23" s="9">
        <v>0</v>
      </c>
      <c r="M23" s="9">
        <v>0</v>
      </c>
      <c r="N23" s="9">
        <v>0</v>
      </c>
      <c r="O23" s="9">
        <v>0</v>
      </c>
      <c r="P23" s="10">
        <v>30.511877170000002</v>
      </c>
    </row>
    <row r="24" spans="1:16" x14ac:dyDescent="0.25">
      <c r="A24" s="8" t="s">
        <v>19</v>
      </c>
      <c r="B24" s="18">
        <v>2.2709258999999999</v>
      </c>
      <c r="C24" s="18">
        <v>26.207719539999999</v>
      </c>
      <c r="D24" s="18">
        <v>41.040607020000003</v>
      </c>
      <c r="E24" s="18">
        <v>9.7727607400000007</v>
      </c>
      <c r="F24" s="18">
        <v>7.1394776200000001</v>
      </c>
      <c r="G24" s="18">
        <v>0</v>
      </c>
      <c r="H24" s="19">
        <v>86.431490819999993</v>
      </c>
      <c r="J24" s="9">
        <v>4.6318148399999997</v>
      </c>
      <c r="K24" s="9">
        <v>28.869908199999998</v>
      </c>
      <c r="L24" s="9">
        <v>46.030118219999999</v>
      </c>
      <c r="M24" s="9">
        <v>10.428369029999999</v>
      </c>
      <c r="N24" s="9">
        <v>8.2404783600000009</v>
      </c>
      <c r="O24" s="9">
        <v>0</v>
      </c>
      <c r="P24" s="10">
        <v>98.200689499999996</v>
      </c>
    </row>
    <row r="25" spans="1:16" x14ac:dyDescent="0.25">
      <c r="A25" s="8" t="s">
        <v>20</v>
      </c>
      <c r="B25" s="18">
        <v>0.88144862999999996</v>
      </c>
      <c r="C25" s="18">
        <v>3.41954241</v>
      </c>
      <c r="D25" s="18">
        <v>5.7148605000000003</v>
      </c>
      <c r="E25" s="18">
        <v>5.0835963799999995</v>
      </c>
      <c r="F25" s="18">
        <v>1.1579146499999999</v>
      </c>
      <c r="G25" s="18">
        <v>0</v>
      </c>
      <c r="H25" s="19">
        <v>16.257362570000002</v>
      </c>
      <c r="J25" s="9">
        <v>1.16459015</v>
      </c>
      <c r="K25" s="9">
        <v>4.0826834700000001</v>
      </c>
      <c r="L25" s="9">
        <v>4.3223760700000007</v>
      </c>
      <c r="M25" s="9">
        <v>4.2017705999999997</v>
      </c>
      <c r="N25" s="9">
        <v>1.7896192799999999</v>
      </c>
      <c r="O25" s="9">
        <v>0</v>
      </c>
      <c r="P25" s="10">
        <v>15.56104073</v>
      </c>
    </row>
    <row r="26" spans="1:16" s="12" customFormat="1" ht="14" x14ac:dyDescent="0.25">
      <c r="A26" s="11" t="s">
        <v>48</v>
      </c>
      <c r="B26" s="18">
        <v>0</v>
      </c>
      <c r="C26" s="18">
        <v>22.366733919999987</v>
      </c>
      <c r="D26" s="18">
        <v>1.9015900000027841E-3</v>
      </c>
      <c r="E26" s="18">
        <v>15.918912779999999</v>
      </c>
      <c r="F26" s="18">
        <v>6.7091419699999975</v>
      </c>
      <c r="G26" s="18">
        <v>0</v>
      </c>
      <c r="H26" s="19">
        <v>44.996690260000094</v>
      </c>
      <c r="J26" s="9">
        <v>0</v>
      </c>
      <c r="K26" s="9">
        <v>34.375065149999983</v>
      </c>
      <c r="L26" s="9">
        <v>-2.6226000000093563E-3</v>
      </c>
      <c r="M26" s="9">
        <v>12.293703849999986</v>
      </c>
      <c r="N26" s="9">
        <v>7.1611073300000001</v>
      </c>
      <c r="O26" s="9">
        <v>0</v>
      </c>
      <c r="P26" s="10">
        <v>53.827255470000011</v>
      </c>
    </row>
    <row r="27" spans="1:16" s="12" customFormat="1" x14ac:dyDescent="0.25">
      <c r="A27" s="13" t="s">
        <v>36</v>
      </c>
      <c r="B27" s="18"/>
      <c r="C27" s="18"/>
      <c r="D27" s="18"/>
      <c r="E27" s="18"/>
      <c r="F27" s="18"/>
      <c r="G27" s="18"/>
      <c r="H27" s="19"/>
      <c r="J27" s="9"/>
      <c r="K27" s="9"/>
      <c r="L27" s="9"/>
      <c r="M27" s="9"/>
      <c r="N27" s="9"/>
      <c r="O27" s="9"/>
      <c r="P27" s="10"/>
    </row>
    <row r="28" spans="1:16" x14ac:dyDescent="0.25">
      <c r="A28" s="8" t="s">
        <v>21</v>
      </c>
      <c r="B28" s="18">
        <v>3.2973196000000002</v>
      </c>
      <c r="C28" s="18">
        <v>35.283383740000005</v>
      </c>
      <c r="D28" s="18">
        <v>24.192083989999997</v>
      </c>
      <c r="E28" s="18">
        <v>16.94064187</v>
      </c>
      <c r="F28" s="18">
        <v>12.081921060000001</v>
      </c>
      <c r="G28" s="18">
        <v>0</v>
      </c>
      <c r="H28" s="19">
        <v>91.795350260000006</v>
      </c>
      <c r="J28" s="9">
        <v>4.3848827999999997</v>
      </c>
      <c r="K28" s="9">
        <v>53.15819896</v>
      </c>
      <c r="L28" s="9">
        <v>16.18373746</v>
      </c>
      <c r="M28" s="9">
        <v>16.48758857</v>
      </c>
      <c r="N28" s="9">
        <v>9.6379451700000001</v>
      </c>
      <c r="O28" s="9">
        <v>0</v>
      </c>
      <c r="P28" s="10">
        <v>99.852354300000002</v>
      </c>
    </row>
    <row r="29" spans="1:16" x14ac:dyDescent="0.25">
      <c r="A29" s="8" t="s">
        <v>22</v>
      </c>
      <c r="B29" s="20">
        <v>0.73162114</v>
      </c>
      <c r="C29" s="20">
        <v>5.5550740899999997</v>
      </c>
      <c r="D29" s="20">
        <v>15.607037529999999</v>
      </c>
      <c r="E29" s="20">
        <v>12.761060410000001</v>
      </c>
      <c r="F29" s="20">
        <v>17.01458946</v>
      </c>
      <c r="G29" s="9">
        <v>0</v>
      </c>
      <c r="H29" s="21">
        <v>51.895024210000003</v>
      </c>
      <c r="J29" s="14">
        <v>4.0224680699999995</v>
      </c>
      <c r="K29" s="14">
        <v>10.438492050000001</v>
      </c>
      <c r="L29" s="14">
        <v>9.7640625800000009</v>
      </c>
      <c r="M29" s="14">
        <v>10.21065881</v>
      </c>
      <c r="N29" s="14">
        <v>14.74474352</v>
      </c>
      <c r="O29" s="9">
        <v>0</v>
      </c>
      <c r="P29" s="15">
        <v>49.180425899999996</v>
      </c>
    </row>
    <row r="30" spans="1:16" x14ac:dyDescent="0.25">
      <c r="A30" s="11" t="s">
        <v>23</v>
      </c>
      <c r="B30" s="18">
        <v>42.314618259999996</v>
      </c>
      <c r="C30" s="18">
        <v>0</v>
      </c>
      <c r="D30" s="18">
        <v>0</v>
      </c>
      <c r="E30" s="18">
        <v>9.6240437200000013</v>
      </c>
      <c r="F30" s="18">
        <v>0.23493131</v>
      </c>
      <c r="G30" s="18">
        <v>0</v>
      </c>
      <c r="H30" s="19">
        <v>52.173593289999999</v>
      </c>
      <c r="J30" s="9">
        <v>32.224119510000001</v>
      </c>
      <c r="K30" s="9">
        <v>0</v>
      </c>
      <c r="L30" s="9">
        <v>0</v>
      </c>
      <c r="M30" s="9">
        <v>6.5436068000000001</v>
      </c>
      <c r="N30" s="9">
        <v>8.2610100000000006E-2</v>
      </c>
      <c r="O30" s="9">
        <v>0</v>
      </c>
      <c r="P30" s="10">
        <v>38.850336490000004</v>
      </c>
    </row>
    <row r="31" spans="1:16" x14ac:dyDescent="0.25">
      <c r="A31" s="8" t="s">
        <v>24</v>
      </c>
      <c r="B31" s="20">
        <v>1.64959593</v>
      </c>
      <c r="C31" s="20">
        <v>4.1323788199999996</v>
      </c>
      <c r="D31" s="9">
        <v>0</v>
      </c>
      <c r="E31" s="20">
        <v>18.73529319</v>
      </c>
      <c r="F31" s="20">
        <v>5.6626754400000001</v>
      </c>
      <c r="G31" s="20">
        <v>0</v>
      </c>
      <c r="H31" s="19">
        <v>30.224380309999997</v>
      </c>
      <c r="J31" s="14">
        <v>1.5709223400000001</v>
      </c>
      <c r="K31" s="14">
        <v>5.7711297400000001</v>
      </c>
      <c r="L31" s="14">
        <v>0.10980403</v>
      </c>
      <c r="M31" s="14">
        <v>17.24213975</v>
      </c>
      <c r="N31" s="14">
        <v>8.4430387699999994</v>
      </c>
      <c r="O31" s="9">
        <v>0</v>
      </c>
      <c r="P31" s="10">
        <v>33.137035529999999</v>
      </c>
    </row>
    <row r="32" spans="1:16" x14ac:dyDescent="0.25">
      <c r="A32" s="11" t="s">
        <v>25</v>
      </c>
      <c r="B32" s="18">
        <v>12.9301174</v>
      </c>
      <c r="C32" s="18">
        <v>0.51819884000000005</v>
      </c>
      <c r="D32" s="18">
        <v>0</v>
      </c>
      <c r="E32" s="18">
        <v>0.93290582</v>
      </c>
      <c r="F32" s="18">
        <v>-8.9062000000000013E-3</v>
      </c>
      <c r="G32" s="18">
        <v>0</v>
      </c>
      <c r="H32" s="19">
        <v>14.372315859999999</v>
      </c>
      <c r="J32" s="9">
        <v>11.55778364</v>
      </c>
      <c r="K32" s="9">
        <v>0.63300870999999992</v>
      </c>
      <c r="L32" s="9">
        <v>0</v>
      </c>
      <c r="M32" s="9">
        <v>1.3858366200000001</v>
      </c>
      <c r="N32" s="9">
        <v>0.15788674999999999</v>
      </c>
      <c r="O32" s="9">
        <v>0</v>
      </c>
      <c r="P32" s="10">
        <v>13.73451582</v>
      </c>
    </row>
    <row r="33" spans="1:16" ht="14" x14ac:dyDescent="0.25">
      <c r="A33" s="8" t="s">
        <v>47</v>
      </c>
      <c r="B33" s="18">
        <v>0</v>
      </c>
      <c r="C33" s="18">
        <v>6.2030301599999973</v>
      </c>
      <c r="D33" s="18">
        <v>0</v>
      </c>
      <c r="E33" s="18">
        <v>0.64219716999999577</v>
      </c>
      <c r="F33" s="18">
        <v>0.98766706999999343</v>
      </c>
      <c r="G33" s="18">
        <v>0</v>
      </c>
      <c r="H33" s="19">
        <v>7.8328944000000718</v>
      </c>
      <c r="J33" s="9">
        <v>0</v>
      </c>
      <c r="K33" s="9">
        <v>3.4752457999999962</v>
      </c>
      <c r="L33" s="9">
        <v>0</v>
      </c>
      <c r="M33" s="9">
        <v>0.3069686400000009</v>
      </c>
      <c r="N33" s="9">
        <v>1.4125166399999998</v>
      </c>
      <c r="O33" s="9">
        <v>0</v>
      </c>
      <c r="P33" s="10">
        <v>5.1947310699999889</v>
      </c>
    </row>
    <row r="34" spans="1:16" x14ac:dyDescent="0.25">
      <c r="A34" s="13" t="s">
        <v>37</v>
      </c>
      <c r="B34" s="18"/>
      <c r="C34" s="18"/>
      <c r="D34" s="18"/>
      <c r="E34" s="18"/>
      <c r="F34" s="18"/>
      <c r="G34" s="18"/>
      <c r="H34" s="19"/>
      <c r="J34" s="9"/>
      <c r="K34" s="9"/>
      <c r="L34" s="9"/>
      <c r="M34" s="9"/>
      <c r="N34" s="9"/>
      <c r="O34" s="9"/>
      <c r="P34" s="10"/>
    </row>
    <row r="35" spans="1:16" x14ac:dyDescent="0.25">
      <c r="A35" s="8" t="s">
        <v>26</v>
      </c>
      <c r="B35" s="18">
        <v>0</v>
      </c>
      <c r="C35" s="18">
        <v>10.572691970000001</v>
      </c>
      <c r="D35" s="18">
        <v>11.53605181</v>
      </c>
      <c r="E35" s="18">
        <v>17.602710420000001</v>
      </c>
      <c r="F35" s="18">
        <v>22.611622780000001</v>
      </c>
      <c r="G35" s="18">
        <v>0</v>
      </c>
      <c r="H35" s="19">
        <v>62.322926979999998</v>
      </c>
      <c r="J35" s="9">
        <v>0</v>
      </c>
      <c r="K35" s="9">
        <v>12.327252960000001</v>
      </c>
      <c r="L35" s="9">
        <v>19.68597475</v>
      </c>
      <c r="M35" s="9">
        <v>14.39694781</v>
      </c>
      <c r="N35" s="9">
        <v>18.358006639999999</v>
      </c>
      <c r="O35" s="9">
        <v>0</v>
      </c>
      <c r="P35" s="10">
        <v>64.76818274</v>
      </c>
    </row>
    <row r="36" spans="1:16" x14ac:dyDescent="0.25">
      <c r="A36" s="8" t="s">
        <v>27</v>
      </c>
      <c r="B36" s="18">
        <v>0.82072858999999998</v>
      </c>
      <c r="C36" s="18">
        <v>13.942146060000001</v>
      </c>
      <c r="D36" s="18">
        <v>18.012324620000001</v>
      </c>
      <c r="E36" s="18">
        <v>11.826967359999999</v>
      </c>
      <c r="F36" s="18">
        <v>4.1009972999999995</v>
      </c>
      <c r="G36" s="18">
        <v>0</v>
      </c>
      <c r="H36" s="19">
        <v>48.703163930000002</v>
      </c>
      <c r="J36" s="9">
        <v>0.72313606999999991</v>
      </c>
      <c r="K36" s="9">
        <v>21.170429469999998</v>
      </c>
      <c r="L36" s="9">
        <v>16.69592166</v>
      </c>
      <c r="M36" s="9">
        <v>10.1397631</v>
      </c>
      <c r="N36" s="9">
        <v>3.7347030800000001</v>
      </c>
      <c r="O36" s="9">
        <v>0</v>
      </c>
      <c r="P36" s="10">
        <v>52.46395502</v>
      </c>
    </row>
    <row r="37" spans="1:16" x14ac:dyDescent="0.25">
      <c r="A37" s="8" t="s">
        <v>28</v>
      </c>
      <c r="B37" s="18">
        <v>0</v>
      </c>
      <c r="C37" s="18">
        <v>0.54272140000000002</v>
      </c>
      <c r="D37" s="18">
        <v>7.8766754600000004</v>
      </c>
      <c r="E37" s="18">
        <v>6.9987609299999995</v>
      </c>
      <c r="F37" s="18">
        <v>16.134624640000002</v>
      </c>
      <c r="G37" s="18">
        <v>0</v>
      </c>
      <c r="H37" s="19">
        <v>31.552782430000001</v>
      </c>
      <c r="J37" s="9">
        <v>0</v>
      </c>
      <c r="K37" s="9">
        <v>1.3987411200000002</v>
      </c>
      <c r="L37" s="9">
        <v>4.4627668099999998</v>
      </c>
      <c r="M37" s="9">
        <v>4.2448922500000004</v>
      </c>
      <c r="N37" s="9">
        <v>13.781369779999999</v>
      </c>
      <c r="O37" s="9">
        <v>0</v>
      </c>
      <c r="P37" s="10">
        <v>23.887770309999997</v>
      </c>
    </row>
    <row r="38" spans="1:16" x14ac:dyDescent="0.25">
      <c r="A38" s="11" t="s">
        <v>29</v>
      </c>
      <c r="B38" s="18">
        <v>0.52726205000000004</v>
      </c>
      <c r="C38" s="18">
        <v>6.1204935199999992</v>
      </c>
      <c r="D38" s="18">
        <v>0</v>
      </c>
      <c r="E38" s="18">
        <v>14.70524541</v>
      </c>
      <c r="F38" s="18">
        <v>1.8174026000000001</v>
      </c>
      <c r="G38" s="18">
        <v>0</v>
      </c>
      <c r="H38" s="19">
        <v>23.170403579999999</v>
      </c>
      <c r="J38" s="9">
        <v>0</v>
      </c>
      <c r="K38" s="9">
        <v>3.6275796699999998</v>
      </c>
      <c r="L38" s="9">
        <v>0</v>
      </c>
      <c r="M38" s="9">
        <v>11.130505960000001</v>
      </c>
      <c r="N38" s="9">
        <v>1.62665569</v>
      </c>
      <c r="O38" s="9">
        <v>0</v>
      </c>
      <c r="P38" s="10">
        <v>16.803111859999998</v>
      </c>
    </row>
    <row r="39" spans="1:16" s="12" customFormat="1" ht="14" x14ac:dyDescent="0.25">
      <c r="A39" s="11" t="s">
        <v>46</v>
      </c>
      <c r="B39" s="18">
        <v>3.1023664100000001</v>
      </c>
      <c r="C39" s="18">
        <v>7.8403431599999962</v>
      </c>
      <c r="D39" s="18">
        <v>0</v>
      </c>
      <c r="E39" s="18">
        <v>31.568185049999997</v>
      </c>
      <c r="F39" s="18">
        <v>9.2441873399999892</v>
      </c>
      <c r="G39" s="18">
        <v>0</v>
      </c>
      <c r="H39" s="19">
        <v>51.755231960000003</v>
      </c>
      <c r="J39" s="9">
        <v>0.91592082000000019</v>
      </c>
      <c r="K39" s="9">
        <v>8.144738420000003</v>
      </c>
      <c r="L39" s="9">
        <v>0</v>
      </c>
      <c r="M39" s="9">
        <v>23.561426740000002</v>
      </c>
      <c r="N39" s="9">
        <v>11.398932690000009</v>
      </c>
      <c r="O39" s="9">
        <v>0</v>
      </c>
      <c r="P39" s="10">
        <v>44.021022399999993</v>
      </c>
    </row>
    <row r="40" spans="1:16" s="12" customFormat="1" x14ac:dyDescent="0.25">
      <c r="A40" s="13" t="s">
        <v>2</v>
      </c>
      <c r="B40" s="18"/>
      <c r="C40" s="18"/>
      <c r="D40" s="18"/>
      <c r="E40" s="18"/>
      <c r="F40" s="18"/>
      <c r="G40" s="18"/>
      <c r="H40" s="19"/>
      <c r="J40" s="9"/>
      <c r="K40" s="9"/>
      <c r="L40" s="9"/>
      <c r="M40" s="9"/>
      <c r="N40" s="9"/>
      <c r="O40" s="9"/>
      <c r="P40" s="10"/>
    </row>
    <row r="41" spans="1:16" x14ac:dyDescent="0.25">
      <c r="A41" s="8" t="s">
        <v>30</v>
      </c>
      <c r="B41" s="18">
        <v>0</v>
      </c>
      <c r="C41" s="18">
        <v>3.1086675099999996</v>
      </c>
      <c r="D41" s="18">
        <v>24.898963920000003</v>
      </c>
      <c r="E41" s="18">
        <v>2.3864463100000002</v>
      </c>
      <c r="F41" s="18">
        <v>1.07952172</v>
      </c>
      <c r="G41" s="18">
        <v>0</v>
      </c>
      <c r="H41" s="19">
        <v>31.800899739999998</v>
      </c>
      <c r="J41" s="9">
        <v>0</v>
      </c>
      <c r="K41" s="9">
        <v>3.2477017200000002</v>
      </c>
      <c r="L41" s="9">
        <v>43.592094109999998</v>
      </c>
      <c r="M41" s="9">
        <v>3.10806637</v>
      </c>
      <c r="N41" s="9">
        <v>0.66833279000000001</v>
      </c>
      <c r="O41" s="9">
        <v>0</v>
      </c>
      <c r="P41" s="10">
        <v>51.057540179999997</v>
      </c>
    </row>
    <row r="42" spans="1:16" x14ac:dyDescent="0.25">
      <c r="A42" s="8" t="s">
        <v>31</v>
      </c>
      <c r="B42" s="18">
        <v>2.25043237</v>
      </c>
      <c r="C42" s="18">
        <v>15.042536289999999</v>
      </c>
      <c r="D42" s="18">
        <v>14.37466603</v>
      </c>
      <c r="E42" s="18">
        <v>3.1728097599999998</v>
      </c>
      <c r="F42" s="18">
        <v>1.2445906899999999</v>
      </c>
      <c r="G42" s="18">
        <v>0</v>
      </c>
      <c r="H42" s="19">
        <v>36.085035140000002</v>
      </c>
      <c r="J42" s="9">
        <v>2.2429130900000001</v>
      </c>
      <c r="K42" s="9">
        <v>16.689541500000001</v>
      </c>
      <c r="L42" s="9">
        <v>3.70357884</v>
      </c>
      <c r="M42" s="9">
        <v>3.82991942</v>
      </c>
      <c r="N42" s="9">
        <v>1.58712068</v>
      </c>
      <c r="O42" s="9">
        <v>0</v>
      </c>
      <c r="P42" s="10">
        <v>28.0530738</v>
      </c>
    </row>
    <row r="43" spans="1:16" x14ac:dyDescent="0.25">
      <c r="A43" s="8" t="s">
        <v>33</v>
      </c>
      <c r="B43" s="18">
        <v>0</v>
      </c>
      <c r="C43" s="18">
        <v>3.11271246</v>
      </c>
      <c r="D43" s="18">
        <v>0.28093990999999996</v>
      </c>
      <c r="E43" s="18">
        <v>14.13041546</v>
      </c>
      <c r="F43" s="18">
        <v>0.79910009999999998</v>
      </c>
      <c r="G43" s="18">
        <v>0</v>
      </c>
      <c r="H43" s="19">
        <v>18.33435004</v>
      </c>
      <c r="J43" s="9">
        <v>0</v>
      </c>
      <c r="K43" s="9">
        <v>4.7799548300000003</v>
      </c>
      <c r="L43" s="9">
        <v>0.55006453</v>
      </c>
      <c r="M43" s="9">
        <v>12.32632622</v>
      </c>
      <c r="N43" s="9">
        <v>1.0945725800000001</v>
      </c>
      <c r="O43" s="9">
        <v>0</v>
      </c>
      <c r="P43" s="10">
        <v>18.584923059999998</v>
      </c>
    </row>
    <row r="44" spans="1:16" x14ac:dyDescent="0.25">
      <c r="A44" s="8" t="s">
        <v>32</v>
      </c>
      <c r="B44" s="18">
        <v>0.61964606000000011</v>
      </c>
      <c r="C44" s="18">
        <v>4.18754092</v>
      </c>
      <c r="D44" s="18">
        <v>3.7625654399999999</v>
      </c>
      <c r="E44" s="18">
        <v>4.9398208700000001</v>
      </c>
      <c r="F44" s="18">
        <v>1.69942573</v>
      </c>
      <c r="G44" s="18">
        <v>0</v>
      </c>
      <c r="H44" s="19">
        <v>15.20899902</v>
      </c>
      <c r="J44" s="9">
        <v>0.50511229999999996</v>
      </c>
      <c r="K44" s="9">
        <v>4.5715908799999996</v>
      </c>
      <c r="L44" s="9">
        <v>4.2114515700000004</v>
      </c>
      <c r="M44" s="9">
        <v>4.5171848499999996</v>
      </c>
      <c r="N44" s="9">
        <v>2.8893437999999998</v>
      </c>
      <c r="O44" s="9">
        <v>0</v>
      </c>
      <c r="P44" s="10">
        <v>16</v>
      </c>
    </row>
    <row r="45" spans="1:16" s="12" customFormat="1" ht="14" x14ac:dyDescent="0.25">
      <c r="A45" s="11" t="s">
        <v>44</v>
      </c>
      <c r="B45" s="18">
        <v>12.336506679999999</v>
      </c>
      <c r="C45" s="18">
        <v>6.4948791200000038</v>
      </c>
      <c r="D45" s="18">
        <v>1.2551404199999965</v>
      </c>
      <c r="E45" s="18">
        <v>25.427207250000002</v>
      </c>
      <c r="F45" s="18">
        <v>2.0557906300000006</v>
      </c>
      <c r="G45" s="9">
        <v>0</v>
      </c>
      <c r="H45" s="19">
        <v>48</v>
      </c>
      <c r="J45" s="9">
        <v>6.2344761900000005</v>
      </c>
      <c r="K45" s="9">
        <v>13.557706390000003</v>
      </c>
      <c r="L45" s="9">
        <v>0.39306045000000012</v>
      </c>
      <c r="M45" s="9">
        <v>22.985818640000002</v>
      </c>
      <c r="N45" s="9">
        <v>3.1280832499999986</v>
      </c>
      <c r="O45" s="9">
        <v>0.84547035000000004</v>
      </c>
      <c r="P45" s="10">
        <v>46</v>
      </c>
    </row>
    <row r="46" spans="1:16" s="12" customFormat="1" ht="14" x14ac:dyDescent="0.25">
      <c r="A46" s="16" t="s">
        <v>45</v>
      </c>
      <c r="B46" s="18">
        <v>-1.53813709</v>
      </c>
      <c r="C46" s="18">
        <v>2.1832970999999999</v>
      </c>
      <c r="D46" s="9">
        <v>0</v>
      </c>
      <c r="E46" s="18">
        <v>-2.82013888</v>
      </c>
      <c r="F46" s="18">
        <v>-0.50318721</v>
      </c>
      <c r="G46" s="18">
        <f>50.8855734132773</f>
        <v>50.885573413277299</v>
      </c>
      <c r="H46" s="19">
        <v>47</v>
      </c>
      <c r="J46" s="9">
        <v>4.0892855299999997</v>
      </c>
      <c r="K46" s="9">
        <v>0</v>
      </c>
      <c r="L46" s="9">
        <v>0</v>
      </c>
      <c r="M46" s="9">
        <v>-6.3334491100000001</v>
      </c>
      <c r="N46" s="9">
        <v>0</v>
      </c>
      <c r="O46" s="9">
        <v>26.357831739999998</v>
      </c>
      <c r="P46" s="10">
        <v>24.10715897</v>
      </c>
    </row>
    <row r="47" spans="1:16" ht="12" thickBot="1" x14ac:dyDescent="0.3">
      <c r="A47" s="1" t="s">
        <v>40</v>
      </c>
      <c r="B47" s="28">
        <v>338.90262504000003</v>
      </c>
      <c r="C47" s="28">
        <v>308.51546093000002</v>
      </c>
      <c r="D47" s="28">
        <v>236.19547602</v>
      </c>
      <c r="E47" s="28">
        <v>470.11553982999999</v>
      </c>
      <c r="F47" s="28">
        <v>190.27099936000002</v>
      </c>
      <c r="G47" s="28">
        <f>51.2016129232773</f>
        <v>51.201612923277303</v>
      </c>
      <c r="H47" s="29">
        <v>1595.2017141032773</v>
      </c>
      <c r="I47" s="30"/>
      <c r="J47" s="28">
        <v>302.62883245999996</v>
      </c>
      <c r="K47" s="28">
        <v>419.30255020999999</v>
      </c>
      <c r="L47" s="28">
        <v>211.04716461000001</v>
      </c>
      <c r="M47" s="28">
        <v>378.45937694999998</v>
      </c>
      <c r="N47" s="28">
        <v>187.45534788999998</v>
      </c>
      <c r="O47" s="28">
        <v>28</v>
      </c>
      <c r="P47" s="29">
        <v>1526.0965927899999</v>
      </c>
    </row>
    <row r="48" spans="1:16" ht="12" thickTop="1" x14ac:dyDescent="0.25"/>
    <row r="49" spans="1:1" x14ac:dyDescent="0.25">
      <c r="A49" s="17" t="s">
        <v>41</v>
      </c>
    </row>
    <row r="50" spans="1:1" ht="14" x14ac:dyDescent="0.25">
      <c r="A50" s="17" t="s">
        <v>42</v>
      </c>
    </row>
    <row r="51" spans="1:1" ht="14" x14ac:dyDescent="0.25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D84F-7613-4094-9A1E-D91D3E1C65ED}">
  <sheetPr codeName="Sheet6">
    <tabColor theme="5" tint="0.79998168889431442"/>
    <pageSetUpPr fitToPage="1"/>
  </sheetPr>
  <dimension ref="A1:P51"/>
  <sheetViews>
    <sheetView showGridLines="0" topLeftCell="A10" workbookViewId="0">
      <selection activeCell="H53" sqref="H53"/>
    </sheetView>
  </sheetViews>
  <sheetFormatPr defaultColWidth="8.81640625" defaultRowHeight="11.5" x14ac:dyDescent="0.25"/>
  <cols>
    <col min="1" max="1" width="37.7265625" style="2" customWidth="1"/>
    <col min="2" max="8" width="8.7265625" style="2" customWidth="1"/>
    <col min="9" max="9" width="1.26953125" style="2" customWidth="1"/>
    <col min="10" max="16" width="8.7265625" style="2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38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90">
        <v>2021</v>
      </c>
      <c r="C4" s="90"/>
      <c r="D4" s="90"/>
      <c r="E4" s="90"/>
      <c r="F4" s="90"/>
      <c r="G4" s="90"/>
      <c r="H4" s="90"/>
      <c r="J4" s="88">
        <v>2020</v>
      </c>
      <c r="K4" s="88"/>
      <c r="L4" s="88"/>
      <c r="M4" s="88"/>
      <c r="N4" s="88"/>
      <c r="O4" s="88"/>
      <c r="P4" s="88"/>
    </row>
    <row r="5" spans="1:16" s="1" customFormat="1" ht="46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v>140.77954937999999</v>
      </c>
      <c r="C7" s="22">
        <v>6.2937482300000003</v>
      </c>
      <c r="D7" s="22">
        <v>0</v>
      </c>
      <c r="E7" s="22">
        <v>19.60453141</v>
      </c>
      <c r="F7" s="22">
        <v>16.524952419999998</v>
      </c>
      <c r="G7" s="22">
        <v>0</v>
      </c>
      <c r="H7" s="23">
        <v>183.27886591000001</v>
      </c>
      <c r="I7" s="24"/>
      <c r="J7" s="24">
        <v>149.37342575</v>
      </c>
      <c r="K7" s="24">
        <v>4.0563447899999998</v>
      </c>
      <c r="L7" s="24">
        <v>0</v>
      </c>
      <c r="M7" s="24">
        <v>20.884189429999999</v>
      </c>
      <c r="N7" s="24">
        <v>20.157480710000002</v>
      </c>
      <c r="O7" s="24">
        <v>0</v>
      </c>
      <c r="P7" s="25">
        <v>194.59911386000002</v>
      </c>
    </row>
    <row r="8" spans="1:16" x14ac:dyDescent="0.25">
      <c r="A8" s="8" t="s">
        <v>9</v>
      </c>
      <c r="B8" s="18">
        <v>25.267166850000002</v>
      </c>
      <c r="C8" s="18">
        <v>5.2858833299999999</v>
      </c>
      <c r="D8" s="18">
        <v>7.8504597399999998</v>
      </c>
      <c r="E8" s="18">
        <v>11.36124706</v>
      </c>
      <c r="F8" s="18">
        <v>2.20959919</v>
      </c>
      <c r="G8" s="18">
        <v>0</v>
      </c>
      <c r="H8" s="19">
        <v>51.97435617</v>
      </c>
      <c r="J8" s="9">
        <v>20.6440448</v>
      </c>
      <c r="K8" s="9">
        <v>4.9265493899999999</v>
      </c>
      <c r="L8" s="9">
        <v>3.5190052200000004</v>
      </c>
      <c r="M8" s="9">
        <v>11.93461484</v>
      </c>
      <c r="N8" s="9">
        <v>0</v>
      </c>
      <c r="O8" s="18">
        <v>0</v>
      </c>
      <c r="P8" s="10">
        <v>41.424962829999998</v>
      </c>
    </row>
    <row r="9" spans="1:16" x14ac:dyDescent="0.25">
      <c r="A9" s="8" t="s">
        <v>8</v>
      </c>
      <c r="B9" s="18">
        <v>20.97208251</v>
      </c>
      <c r="C9" s="18">
        <v>0.33977792000000001</v>
      </c>
      <c r="D9" s="18">
        <v>0</v>
      </c>
      <c r="E9" s="18">
        <v>19.79161569</v>
      </c>
      <c r="F9" s="18">
        <v>4.1219248400000001</v>
      </c>
      <c r="G9" s="18">
        <v>0</v>
      </c>
      <c r="H9" s="19">
        <v>45.225400960000002</v>
      </c>
      <c r="J9" s="9">
        <v>26.28798944</v>
      </c>
      <c r="K9" s="9">
        <v>1.85373955</v>
      </c>
      <c r="L9" s="9">
        <v>0</v>
      </c>
      <c r="M9" s="9">
        <v>26.868148170000001</v>
      </c>
      <c r="N9" s="9">
        <v>7.5778889800000009</v>
      </c>
      <c r="O9" s="18">
        <v>0</v>
      </c>
      <c r="P9" s="10">
        <v>62.587766139999999</v>
      </c>
    </row>
    <row r="10" spans="1:16" x14ac:dyDescent="0.25">
      <c r="A10" s="8" t="s">
        <v>52</v>
      </c>
      <c r="B10" s="18">
        <v>8.2749021599999999</v>
      </c>
      <c r="C10" s="18">
        <v>6.9050175400000002</v>
      </c>
      <c r="D10" s="18">
        <v>2.7784557799999998</v>
      </c>
      <c r="E10" s="18">
        <v>8.9264351600000005</v>
      </c>
      <c r="F10" s="18">
        <v>2.1795152500000001</v>
      </c>
      <c r="G10" s="18">
        <v>0</v>
      </c>
      <c r="H10" s="19">
        <v>29.064325889999999</v>
      </c>
      <c r="J10" s="9">
        <v>-0.55327468999999996</v>
      </c>
      <c r="K10" s="9">
        <v>5.1994793000000001</v>
      </c>
      <c r="L10" s="9">
        <v>1.45695022</v>
      </c>
      <c r="M10" s="9">
        <v>7.2404577100000003</v>
      </c>
      <c r="N10" s="9">
        <v>2.3304300800000002</v>
      </c>
      <c r="O10" s="18">
        <v>0</v>
      </c>
      <c r="P10" s="10">
        <v>15.67404262</v>
      </c>
    </row>
    <row r="11" spans="1:16" x14ac:dyDescent="0.25">
      <c r="A11" s="8" t="s">
        <v>10</v>
      </c>
      <c r="B11" s="18">
        <v>0</v>
      </c>
      <c r="C11" s="18">
        <v>0.44411878000000005</v>
      </c>
      <c r="D11" s="18">
        <v>0</v>
      </c>
      <c r="E11" s="18">
        <v>11.684623460000001</v>
      </c>
      <c r="F11" s="18">
        <v>4.6006658499999995</v>
      </c>
      <c r="G11" s="18">
        <v>0</v>
      </c>
      <c r="H11" s="19">
        <v>16.72940809</v>
      </c>
      <c r="J11" s="9">
        <v>0</v>
      </c>
      <c r="K11" s="9">
        <v>0</v>
      </c>
      <c r="L11" s="9">
        <v>0</v>
      </c>
      <c r="M11" s="9">
        <v>11.22292536</v>
      </c>
      <c r="N11" s="9">
        <v>5.8058539000000007</v>
      </c>
      <c r="O11" s="18">
        <v>0</v>
      </c>
      <c r="P11" s="10">
        <v>17.47930861</v>
      </c>
    </row>
    <row r="12" spans="1:16" s="12" customFormat="1" ht="14" x14ac:dyDescent="0.25">
      <c r="A12" s="11" t="s">
        <v>50</v>
      </c>
      <c r="B12" s="18">
        <v>39.836490900000037</v>
      </c>
      <c r="C12" s="18">
        <v>13.201699399999999</v>
      </c>
      <c r="D12" s="18">
        <v>0</v>
      </c>
      <c r="E12" s="18">
        <v>10.244574939999998</v>
      </c>
      <c r="F12" s="18">
        <v>9.7513313000000039</v>
      </c>
      <c r="G12" s="18">
        <v>0</v>
      </c>
      <c r="H12" s="19">
        <v>73.034096540000078</v>
      </c>
      <c r="J12" s="9">
        <v>21.875398209999979</v>
      </c>
      <c r="K12" s="9">
        <v>14.922405979999999</v>
      </c>
      <c r="L12" s="9">
        <v>0</v>
      </c>
      <c r="M12" s="9">
        <v>11.489577610000014</v>
      </c>
      <c r="N12" s="9">
        <v>10.907545840000003</v>
      </c>
      <c r="O12" s="18">
        <v>0</v>
      </c>
      <c r="P12" s="10">
        <v>59.194927639999989</v>
      </c>
    </row>
    <row r="13" spans="1:16" s="12" customFormat="1" x14ac:dyDescent="0.25">
      <c r="A13" s="6" t="s">
        <v>12</v>
      </c>
      <c r="B13" s="18"/>
      <c r="C13" s="18"/>
      <c r="D13" s="18"/>
      <c r="E13" s="18"/>
      <c r="F13" s="18"/>
      <c r="G13" s="18"/>
      <c r="H13" s="19"/>
      <c r="J13" s="9"/>
      <c r="K13" s="9"/>
      <c r="L13" s="9"/>
      <c r="M13" s="9"/>
      <c r="N13" s="9"/>
      <c r="O13" s="9"/>
      <c r="P13" s="10"/>
    </row>
    <row r="14" spans="1:16" x14ac:dyDescent="0.25">
      <c r="A14" s="8" t="s">
        <v>11</v>
      </c>
      <c r="B14" s="18">
        <v>34.553514590000006</v>
      </c>
      <c r="C14" s="18">
        <v>1.2778752600000001</v>
      </c>
      <c r="D14" s="18">
        <v>0</v>
      </c>
      <c r="E14" s="18">
        <v>2.5475403399999998</v>
      </c>
      <c r="F14" s="18">
        <v>0</v>
      </c>
      <c r="G14" s="18">
        <v>0</v>
      </c>
      <c r="H14" s="19">
        <v>38.378930189999998</v>
      </c>
      <c r="J14" s="9">
        <v>26.841416079999998</v>
      </c>
      <c r="K14" s="9">
        <v>2.9806919999999997E-2</v>
      </c>
      <c r="L14" s="9">
        <v>0</v>
      </c>
      <c r="M14" s="9">
        <v>1.3397332500000001</v>
      </c>
      <c r="N14" s="9">
        <v>0</v>
      </c>
      <c r="O14" s="9">
        <v>0</v>
      </c>
      <c r="P14" s="10">
        <v>28.210956249999999</v>
      </c>
    </row>
    <row r="15" spans="1:16" x14ac:dyDescent="0.25">
      <c r="A15" s="8" t="s">
        <v>13</v>
      </c>
      <c r="B15" s="18">
        <v>3.7161866299999997</v>
      </c>
      <c r="C15" s="18">
        <v>0</v>
      </c>
      <c r="D15" s="18">
        <v>0</v>
      </c>
      <c r="E15" s="18">
        <v>18.546486550000001</v>
      </c>
      <c r="F15" s="18">
        <v>0</v>
      </c>
      <c r="G15" s="18">
        <v>0</v>
      </c>
      <c r="H15" s="19">
        <v>22.430017120000002</v>
      </c>
      <c r="J15" s="9">
        <v>0</v>
      </c>
      <c r="K15" s="9">
        <v>0.29260877000000002</v>
      </c>
      <c r="L15" s="9">
        <v>0</v>
      </c>
      <c r="M15" s="9">
        <v>21.581915110000001</v>
      </c>
      <c r="N15" s="9">
        <v>0</v>
      </c>
      <c r="O15" s="9">
        <v>0</v>
      </c>
      <c r="P15" s="10">
        <v>21.874414100000003</v>
      </c>
    </row>
    <row r="16" spans="1:16" x14ac:dyDescent="0.25">
      <c r="A16" s="8" t="s">
        <v>14</v>
      </c>
      <c r="B16" s="18">
        <v>0</v>
      </c>
      <c r="C16" s="18">
        <v>3.9246718999999999</v>
      </c>
      <c r="D16" s="18">
        <v>0</v>
      </c>
      <c r="E16" s="18">
        <v>4.7096945699999999</v>
      </c>
      <c r="F16" s="18">
        <v>1.6638766</v>
      </c>
      <c r="G16" s="18">
        <v>0</v>
      </c>
      <c r="H16" s="19">
        <v>10.29824307</v>
      </c>
      <c r="J16" s="9">
        <v>0</v>
      </c>
      <c r="K16" s="9">
        <v>3.6013729100000003</v>
      </c>
      <c r="L16" s="9">
        <v>0</v>
      </c>
      <c r="M16" s="9">
        <v>3.5997146099999999</v>
      </c>
      <c r="N16" s="9">
        <v>10.703573789999998</v>
      </c>
      <c r="O16" s="9">
        <v>0</v>
      </c>
      <c r="P16" s="10">
        <v>17.904661309999998</v>
      </c>
    </row>
    <row r="17" spans="1:16" ht="14" x14ac:dyDescent="0.25">
      <c r="A17" s="8" t="s">
        <v>49</v>
      </c>
      <c r="B17" s="18">
        <v>0</v>
      </c>
      <c r="C17" s="18">
        <v>1.7177942200000007</v>
      </c>
      <c r="D17" s="18">
        <v>0</v>
      </c>
      <c r="E17" s="18">
        <v>7.841851939999998</v>
      </c>
      <c r="F17" s="18">
        <v>0</v>
      </c>
      <c r="G17" s="18">
        <v>0</v>
      </c>
      <c r="H17" s="19">
        <v>9.5596461600000104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</row>
    <row r="18" spans="1:16" x14ac:dyDescent="0.25">
      <c r="A18" s="6" t="s">
        <v>34</v>
      </c>
      <c r="B18" s="18"/>
      <c r="C18" s="18"/>
      <c r="D18" s="18"/>
      <c r="E18" s="18"/>
      <c r="F18" s="18"/>
      <c r="G18" s="18"/>
      <c r="H18" s="19"/>
      <c r="J18" s="9"/>
      <c r="K18" s="9"/>
      <c r="L18" s="9"/>
      <c r="M18" s="9"/>
      <c r="N18" s="9"/>
      <c r="O18" s="9"/>
      <c r="P18" s="10"/>
    </row>
    <row r="19" spans="1:16" x14ac:dyDescent="0.25">
      <c r="A19" s="13" t="s">
        <v>35</v>
      </c>
      <c r="B19" s="18"/>
      <c r="C19" s="18"/>
      <c r="D19" s="18"/>
      <c r="E19" s="18"/>
      <c r="F19" s="18"/>
      <c r="G19" s="18"/>
      <c r="H19" s="19"/>
      <c r="J19" s="9"/>
      <c r="K19" s="9"/>
      <c r="L19" s="9"/>
      <c r="M19" s="9"/>
      <c r="N19" s="9"/>
      <c r="O19" s="9"/>
      <c r="P19" s="10"/>
    </row>
    <row r="20" spans="1:16" x14ac:dyDescent="0.25">
      <c r="A20" s="8" t="s">
        <v>15</v>
      </c>
      <c r="B20" s="18">
        <v>2.38270223</v>
      </c>
      <c r="C20" s="18">
        <v>18.638177809999998</v>
      </c>
      <c r="D20" s="18">
        <v>38.604731569999998</v>
      </c>
      <c r="E20" s="18">
        <v>25.733763079999999</v>
      </c>
      <c r="F20" s="18">
        <v>6.4979487200000001</v>
      </c>
      <c r="G20" s="18">
        <v>0</v>
      </c>
      <c r="H20" s="19">
        <v>91.857323409999992</v>
      </c>
      <c r="J20" s="9">
        <v>-2.37983426</v>
      </c>
      <c r="K20" s="9">
        <v>90.041105590000001</v>
      </c>
      <c r="L20" s="9">
        <v>22.71106627</v>
      </c>
      <c r="M20" s="9">
        <v>27.641411530000003</v>
      </c>
      <c r="N20" s="9">
        <v>6.8676321299999996</v>
      </c>
      <c r="O20" s="9">
        <v>0</v>
      </c>
      <c r="P20" s="10">
        <v>144.88138125999998</v>
      </c>
    </row>
    <row r="21" spans="1:16" x14ac:dyDescent="0.25">
      <c r="A21" s="11" t="s">
        <v>16</v>
      </c>
      <c r="B21" s="18">
        <v>2.5848351899999997</v>
      </c>
      <c r="C21" s="18">
        <v>10.517888880000001</v>
      </c>
      <c r="D21" s="18">
        <v>0.33903295999999999</v>
      </c>
      <c r="E21" s="18">
        <v>18.634150920000003</v>
      </c>
      <c r="F21" s="18">
        <v>8.698749900000001</v>
      </c>
      <c r="G21" s="18">
        <v>0</v>
      </c>
      <c r="H21" s="19">
        <v>40.774657850000004</v>
      </c>
      <c r="J21" s="9">
        <v>3.6331800800000003</v>
      </c>
      <c r="K21" s="9">
        <v>13.481690499999999</v>
      </c>
      <c r="L21" s="9">
        <v>0</v>
      </c>
      <c r="M21" s="9">
        <v>23.376206359999998</v>
      </c>
      <c r="N21" s="9">
        <v>12.582479230000001</v>
      </c>
      <c r="O21" s="9">
        <v>0</v>
      </c>
      <c r="P21" s="10">
        <v>53.268380960000002</v>
      </c>
    </row>
    <row r="22" spans="1:16" x14ac:dyDescent="0.25">
      <c r="A22" s="8" t="s">
        <v>17</v>
      </c>
      <c r="B22" s="18">
        <v>0</v>
      </c>
      <c r="C22" s="18">
        <v>35.989897849999998</v>
      </c>
      <c r="D22" s="18">
        <v>0</v>
      </c>
      <c r="E22" s="18">
        <v>70.429121170000002</v>
      </c>
      <c r="F22" s="18">
        <v>5.3388774699999999</v>
      </c>
      <c r="G22" s="18">
        <v>0</v>
      </c>
      <c r="H22" s="19">
        <v>111.75789648999999</v>
      </c>
      <c r="J22" s="9">
        <v>0</v>
      </c>
      <c r="K22" s="9">
        <v>29.24351613</v>
      </c>
      <c r="L22" s="9">
        <v>0</v>
      </c>
      <c r="M22" s="9">
        <v>86.566097510000006</v>
      </c>
      <c r="N22" s="9">
        <v>6.4133306399999999</v>
      </c>
      <c r="O22" s="9">
        <v>0</v>
      </c>
      <c r="P22" s="10">
        <v>122.22294428000001</v>
      </c>
    </row>
    <row r="23" spans="1:16" x14ac:dyDescent="0.25">
      <c r="A23" s="8" t="s">
        <v>18</v>
      </c>
      <c r="B23" s="18">
        <v>0</v>
      </c>
      <c r="C23" s="18">
        <v>14.99787927</v>
      </c>
      <c r="D23" s="18">
        <v>0</v>
      </c>
      <c r="E23" s="18">
        <v>0</v>
      </c>
      <c r="F23" s="18">
        <v>0.50093171000000003</v>
      </c>
      <c r="G23" s="18">
        <v>0</v>
      </c>
      <c r="H23" s="19">
        <v>15.49881098</v>
      </c>
      <c r="J23" s="9">
        <v>0</v>
      </c>
      <c r="K23" s="9">
        <v>32.114338539999999</v>
      </c>
      <c r="L23" s="9">
        <v>0</v>
      </c>
      <c r="M23" s="9">
        <v>0</v>
      </c>
      <c r="N23" s="9">
        <v>0</v>
      </c>
      <c r="O23" s="9">
        <v>0</v>
      </c>
      <c r="P23" s="10">
        <v>32.114338539999999</v>
      </c>
    </row>
    <row r="24" spans="1:16" x14ac:dyDescent="0.25">
      <c r="A24" s="8" t="s">
        <v>19</v>
      </c>
      <c r="B24" s="18">
        <v>3.3835174100000001</v>
      </c>
      <c r="C24" s="18">
        <v>27.39421024</v>
      </c>
      <c r="D24" s="18">
        <v>42.201574549999997</v>
      </c>
      <c r="E24" s="18">
        <v>9.2561244399999989</v>
      </c>
      <c r="F24" s="18">
        <v>8.2058729400000008</v>
      </c>
      <c r="G24" s="18">
        <v>0</v>
      </c>
      <c r="H24" s="19">
        <v>90.441299579999992</v>
      </c>
      <c r="J24" s="9">
        <v>7.4771195599999993</v>
      </c>
      <c r="K24" s="9">
        <v>29.230407890000002</v>
      </c>
      <c r="L24" s="9">
        <v>36.944408619999997</v>
      </c>
      <c r="M24" s="9">
        <v>16.212992660000001</v>
      </c>
      <c r="N24" s="9">
        <v>12.41776776</v>
      </c>
      <c r="O24" s="9">
        <v>0</v>
      </c>
      <c r="P24" s="10">
        <v>102.28269648999999</v>
      </c>
    </row>
    <row r="25" spans="1:16" x14ac:dyDescent="0.25">
      <c r="A25" s="8" t="s">
        <v>20</v>
      </c>
      <c r="B25" s="18">
        <v>1.00866045</v>
      </c>
      <c r="C25" s="18">
        <v>3.3494620199999998</v>
      </c>
      <c r="D25" s="18">
        <v>3.0048142999999996</v>
      </c>
      <c r="E25" s="18">
        <v>4.4977494900000003</v>
      </c>
      <c r="F25" s="18">
        <v>2.7011951299999999</v>
      </c>
      <c r="G25" s="18">
        <v>0</v>
      </c>
      <c r="H25" s="19">
        <v>14.56188139</v>
      </c>
      <c r="J25" s="9">
        <v>-0.93556485</v>
      </c>
      <c r="K25" s="9">
        <v>3.7027401600000003</v>
      </c>
      <c r="L25" s="9">
        <v>12.637718570000001</v>
      </c>
      <c r="M25" s="9">
        <v>5.5072649599999997</v>
      </c>
      <c r="N25" s="9">
        <v>2.7091390199999998</v>
      </c>
      <c r="O25" s="9">
        <v>0</v>
      </c>
      <c r="P25" s="10">
        <v>23.621297859999999</v>
      </c>
    </row>
    <row r="26" spans="1:16" s="12" customFormat="1" ht="14" x14ac:dyDescent="0.25">
      <c r="A26" s="11" t="s">
        <v>48</v>
      </c>
      <c r="B26" s="18">
        <v>0</v>
      </c>
      <c r="C26" s="18">
        <v>6.815202600000009</v>
      </c>
      <c r="D26" s="18">
        <v>2.795520000010729E-3</v>
      </c>
      <c r="E26" s="18">
        <v>13.293531870000004</v>
      </c>
      <c r="F26" s="18">
        <v>3.9383478199999966</v>
      </c>
      <c r="G26" s="18">
        <v>0</v>
      </c>
      <c r="H26" s="19">
        <v>24.049877810000002</v>
      </c>
      <c r="J26" s="9">
        <v>0</v>
      </c>
      <c r="K26" s="9">
        <v>6.9073098799999952</v>
      </c>
      <c r="L26" s="9">
        <v>4.47370000000298E-3</v>
      </c>
      <c r="M26" s="9">
        <v>17.145772669999985</v>
      </c>
      <c r="N26" s="9">
        <v>8.766536600000002</v>
      </c>
      <c r="O26" s="9">
        <v>0</v>
      </c>
      <c r="P26" s="10">
        <v>32.824092849999964</v>
      </c>
    </row>
    <row r="27" spans="1:16" s="12" customFormat="1" x14ac:dyDescent="0.25">
      <c r="A27" s="13" t="s">
        <v>36</v>
      </c>
      <c r="B27" s="18"/>
      <c r="C27" s="18"/>
      <c r="D27" s="18"/>
      <c r="E27" s="18"/>
      <c r="F27" s="18"/>
      <c r="G27" s="18"/>
      <c r="H27" s="19"/>
      <c r="J27" s="9"/>
      <c r="K27" s="9"/>
      <c r="L27" s="9"/>
      <c r="M27" s="9"/>
      <c r="N27" s="9"/>
      <c r="O27" s="9"/>
      <c r="P27" s="10"/>
    </row>
    <row r="28" spans="1:16" x14ac:dyDescent="0.25">
      <c r="A28" s="8" t="s">
        <v>21</v>
      </c>
      <c r="B28" s="18">
        <v>4.5163572800000003</v>
      </c>
      <c r="C28" s="18">
        <v>37.44404815</v>
      </c>
      <c r="D28" s="18">
        <v>38.343984770000006</v>
      </c>
      <c r="E28" s="18">
        <v>17.958181489999998</v>
      </c>
      <c r="F28" s="18">
        <v>8.6986746300000011</v>
      </c>
      <c r="G28" s="18">
        <v>0</v>
      </c>
      <c r="H28" s="19">
        <v>106.96124631999999</v>
      </c>
      <c r="J28" s="9">
        <v>4.9381298200000003</v>
      </c>
      <c r="K28" s="9">
        <v>47.097432950000005</v>
      </c>
      <c r="L28" s="9">
        <v>65.246216869999998</v>
      </c>
      <c r="M28" s="9">
        <v>22.30078868</v>
      </c>
      <c r="N28" s="9">
        <v>15.87240469</v>
      </c>
      <c r="O28" s="9">
        <v>0</v>
      </c>
      <c r="P28" s="10">
        <v>155.45497301</v>
      </c>
    </row>
    <row r="29" spans="1:16" x14ac:dyDescent="0.25">
      <c r="A29" s="8" t="s">
        <v>22</v>
      </c>
      <c r="B29" s="20">
        <v>1.97418421</v>
      </c>
      <c r="C29" s="20">
        <v>4.9822396700000002</v>
      </c>
      <c r="D29" s="20">
        <v>11.86226636</v>
      </c>
      <c r="E29" s="20">
        <v>10.297780660000001</v>
      </c>
      <c r="F29" s="20">
        <v>13.941035960000001</v>
      </c>
      <c r="G29" s="9">
        <v>0</v>
      </c>
      <c r="H29" s="21">
        <v>43.057506859999997</v>
      </c>
      <c r="J29" s="14">
        <v>5.7155054500000002</v>
      </c>
      <c r="K29" s="14">
        <v>14.069115740000001</v>
      </c>
      <c r="L29" s="14">
        <v>11.046701109999999</v>
      </c>
      <c r="M29" s="14">
        <v>16.547472500000001</v>
      </c>
      <c r="N29" s="14">
        <v>23.130591989999999</v>
      </c>
      <c r="O29" s="9">
        <v>0</v>
      </c>
      <c r="P29" s="15">
        <v>70.551938790000008</v>
      </c>
    </row>
    <row r="30" spans="1:16" x14ac:dyDescent="0.25">
      <c r="A30" s="11" t="s">
        <v>23</v>
      </c>
      <c r="B30" s="18">
        <v>30.721166579999998</v>
      </c>
      <c r="C30" s="18">
        <v>0</v>
      </c>
      <c r="D30" s="18">
        <v>0</v>
      </c>
      <c r="E30" s="18">
        <v>7.5986153200000004</v>
      </c>
      <c r="F30" s="18">
        <v>0.13731972000000001</v>
      </c>
      <c r="G30" s="18">
        <v>0</v>
      </c>
      <c r="H30" s="19">
        <v>38.457101619999996</v>
      </c>
      <c r="J30" s="9">
        <v>72.28405119</v>
      </c>
      <c r="K30" s="9">
        <v>0</v>
      </c>
      <c r="L30" s="9">
        <v>0</v>
      </c>
      <c r="M30" s="9">
        <v>10.873411109999999</v>
      </c>
      <c r="N30" s="9">
        <v>0</v>
      </c>
      <c r="O30" s="9">
        <v>0</v>
      </c>
      <c r="P30" s="10">
        <v>83.380641740000002</v>
      </c>
    </row>
    <row r="31" spans="1:16" x14ac:dyDescent="0.25">
      <c r="A31" s="8" t="s">
        <v>24</v>
      </c>
      <c r="B31" s="20">
        <v>1.4813481499999999</v>
      </c>
      <c r="C31" s="20">
        <v>2.67789448</v>
      </c>
      <c r="D31" s="9">
        <v>0</v>
      </c>
      <c r="E31" s="20">
        <v>14.47595847</v>
      </c>
      <c r="F31" s="20">
        <v>5.9556829100000002</v>
      </c>
      <c r="G31" s="20">
        <v>0</v>
      </c>
      <c r="H31" s="19">
        <v>24.624069239999997</v>
      </c>
      <c r="J31" s="14">
        <v>1.8080376200000001</v>
      </c>
      <c r="K31" s="14">
        <v>21.364499930000001</v>
      </c>
      <c r="L31" s="14">
        <v>0</v>
      </c>
      <c r="M31" s="14">
        <v>20.10893222</v>
      </c>
      <c r="N31" s="14">
        <v>8.0470087299999999</v>
      </c>
      <c r="O31" s="9">
        <v>0</v>
      </c>
      <c r="P31" s="10">
        <v>51.407264020000007</v>
      </c>
    </row>
    <row r="32" spans="1:16" x14ac:dyDescent="0.25">
      <c r="A32" s="11" t="s">
        <v>25</v>
      </c>
      <c r="B32" s="18">
        <v>16.146263099999999</v>
      </c>
      <c r="C32" s="18">
        <v>0.50361526000000001</v>
      </c>
      <c r="D32" s="18">
        <v>0</v>
      </c>
      <c r="E32" s="18">
        <v>1.3500344399999999</v>
      </c>
      <c r="F32" s="18">
        <v>2.745512E-2</v>
      </c>
      <c r="G32" s="18">
        <v>0</v>
      </c>
      <c r="H32" s="19">
        <v>18.027367920000003</v>
      </c>
      <c r="J32" s="9">
        <v>26.641805160000001</v>
      </c>
      <c r="K32" s="9">
        <v>0.56353570999999991</v>
      </c>
      <c r="L32" s="9">
        <v>0</v>
      </c>
      <c r="M32" s="9">
        <v>1.0857317099999999</v>
      </c>
      <c r="N32" s="9">
        <v>0.23064670000000001</v>
      </c>
      <c r="O32" s="9">
        <v>0</v>
      </c>
      <c r="P32" s="10">
        <v>28.521719280000003</v>
      </c>
    </row>
    <row r="33" spans="1:16" ht="14" x14ac:dyDescent="0.25">
      <c r="A33" s="8" t="s">
        <v>47</v>
      </c>
      <c r="B33" s="18">
        <v>0.14819149000000209</v>
      </c>
      <c r="C33" s="18">
        <v>2.5903612100000082</v>
      </c>
      <c r="D33" s="18">
        <v>0</v>
      </c>
      <c r="E33" s="18">
        <v>0.51752430000000449</v>
      </c>
      <c r="F33" s="18">
        <v>1.3006620299999974</v>
      </c>
      <c r="G33" s="18">
        <v>0</v>
      </c>
      <c r="H33" s="19">
        <v>4.5567390299999717</v>
      </c>
      <c r="J33" s="9">
        <v>0.96620570000000294</v>
      </c>
      <c r="K33" s="9">
        <v>7.1751229500000031</v>
      </c>
      <c r="L33" s="9">
        <v>0</v>
      </c>
      <c r="M33" s="9">
        <v>0.5211018900000155</v>
      </c>
      <c r="N33" s="9">
        <v>1.3298213100000025</v>
      </c>
      <c r="O33" s="9">
        <v>0</v>
      </c>
      <c r="P33" s="10">
        <v>9.9922518499999651</v>
      </c>
    </row>
    <row r="34" spans="1:16" x14ac:dyDescent="0.25">
      <c r="A34" s="13" t="s">
        <v>37</v>
      </c>
      <c r="B34" s="18"/>
      <c r="C34" s="18"/>
      <c r="D34" s="18"/>
      <c r="E34" s="18"/>
      <c r="F34" s="18"/>
      <c r="G34" s="18"/>
      <c r="H34" s="19"/>
      <c r="J34" s="9"/>
      <c r="K34" s="9"/>
      <c r="L34" s="9"/>
      <c r="M34" s="9"/>
      <c r="N34" s="9"/>
      <c r="O34" s="9"/>
      <c r="P34" s="10"/>
    </row>
    <row r="35" spans="1:16" x14ac:dyDescent="0.25">
      <c r="A35" s="8" t="s">
        <v>26</v>
      </c>
      <c r="B35" s="18">
        <v>0</v>
      </c>
      <c r="C35" s="18">
        <v>11.543499089999999</v>
      </c>
      <c r="D35" s="18">
        <v>7.7896921199999998</v>
      </c>
      <c r="E35" s="18">
        <v>15.989439750000001</v>
      </c>
      <c r="F35" s="18">
        <v>20.898469079999998</v>
      </c>
      <c r="G35" s="18">
        <v>0</v>
      </c>
      <c r="H35" s="19">
        <v>56.221100039999996</v>
      </c>
      <c r="J35" s="9">
        <v>0</v>
      </c>
      <c r="K35" s="9">
        <v>19.211454579999998</v>
      </c>
      <c r="L35" s="9">
        <v>7.6143219499999999</v>
      </c>
      <c r="M35" s="9">
        <v>16.2980193</v>
      </c>
      <c r="N35" s="9">
        <v>27.286151489999998</v>
      </c>
      <c r="O35" s="9">
        <v>0</v>
      </c>
      <c r="P35" s="10">
        <v>70.409947319999986</v>
      </c>
    </row>
    <row r="36" spans="1:16" x14ac:dyDescent="0.25">
      <c r="A36" s="8" t="s">
        <v>27</v>
      </c>
      <c r="B36" s="18">
        <v>0.87600827000000003</v>
      </c>
      <c r="C36" s="18">
        <v>11.02776955</v>
      </c>
      <c r="D36" s="18">
        <v>11.03695888</v>
      </c>
      <c r="E36" s="18">
        <v>11.09346648</v>
      </c>
      <c r="F36" s="18">
        <v>3.6582597400000001</v>
      </c>
      <c r="G36" s="18">
        <v>0</v>
      </c>
      <c r="H36" s="19">
        <v>37.692462920000004</v>
      </c>
      <c r="J36" s="9">
        <v>0.97076799999999996</v>
      </c>
      <c r="K36" s="9">
        <v>13.173051490000001</v>
      </c>
      <c r="L36" s="9">
        <v>9.2874353100000011</v>
      </c>
      <c r="M36" s="9">
        <v>12.434214320000001</v>
      </c>
      <c r="N36" s="9">
        <v>5.1414216599999998</v>
      </c>
      <c r="O36" s="9">
        <v>0</v>
      </c>
      <c r="P36" s="10">
        <v>41.006890779999999</v>
      </c>
    </row>
    <row r="37" spans="1:16" x14ac:dyDescent="0.25">
      <c r="A37" s="8" t="s">
        <v>28</v>
      </c>
      <c r="B37" s="18">
        <v>0</v>
      </c>
      <c r="C37" s="18">
        <v>0.53379611999999999</v>
      </c>
      <c r="D37" s="18">
        <v>3.7768084800000001</v>
      </c>
      <c r="E37" s="18">
        <v>5.7423367300000008</v>
      </c>
      <c r="F37" s="18">
        <v>15.86473483</v>
      </c>
      <c r="G37" s="18">
        <v>0</v>
      </c>
      <c r="H37" s="19">
        <v>25.917676159999999</v>
      </c>
      <c r="J37" s="9">
        <v>0</v>
      </c>
      <c r="K37" s="9">
        <v>0.40178869</v>
      </c>
      <c r="L37" s="9">
        <v>4.34884132</v>
      </c>
      <c r="M37" s="9">
        <v>5.5014268700000004</v>
      </c>
      <c r="N37" s="9">
        <v>18.93372183</v>
      </c>
      <c r="O37" s="9">
        <v>0</v>
      </c>
      <c r="P37" s="10">
        <v>29.185778710000001</v>
      </c>
    </row>
    <row r="38" spans="1:16" x14ac:dyDescent="0.25">
      <c r="A38" s="11" t="s">
        <v>29</v>
      </c>
      <c r="B38" s="18">
        <v>0</v>
      </c>
      <c r="C38" s="18">
        <v>4.8852694999999997</v>
      </c>
      <c r="D38" s="18">
        <v>0</v>
      </c>
      <c r="E38" s="18">
        <v>13.106596300000001</v>
      </c>
      <c r="F38" s="18">
        <v>1.5836937799999999</v>
      </c>
      <c r="G38" s="18">
        <v>0</v>
      </c>
      <c r="H38" s="19">
        <v>19.881082760000002</v>
      </c>
      <c r="J38" s="9">
        <v>0.51850768000000003</v>
      </c>
      <c r="K38" s="9">
        <v>5.2340875700000007</v>
      </c>
      <c r="L38" s="9">
        <v>0</v>
      </c>
      <c r="M38" s="9">
        <v>12.336855359999999</v>
      </c>
      <c r="N38" s="9">
        <v>2.02053138</v>
      </c>
      <c r="O38" s="9">
        <v>0</v>
      </c>
      <c r="P38" s="10">
        <v>20.109981989999998</v>
      </c>
    </row>
    <row r="39" spans="1:16" s="12" customFormat="1" ht="14" x14ac:dyDescent="0.25">
      <c r="A39" s="11" t="s">
        <v>46</v>
      </c>
      <c r="B39" s="18">
        <v>-0.85041201</v>
      </c>
      <c r="C39" s="18">
        <v>6.2469753300000024</v>
      </c>
      <c r="D39" s="18">
        <v>0</v>
      </c>
      <c r="E39" s="18">
        <v>25.228464409999997</v>
      </c>
      <c r="F39" s="18">
        <v>10.487803939999997</v>
      </c>
      <c r="G39" s="18">
        <v>0</v>
      </c>
      <c r="H39" s="19">
        <v>41.11283167000002</v>
      </c>
      <c r="J39" s="9">
        <v>1.36795957</v>
      </c>
      <c r="K39" s="9">
        <v>6.5456436400000007</v>
      </c>
      <c r="L39" s="9">
        <v>0</v>
      </c>
      <c r="M39" s="9">
        <v>26.807204070000001</v>
      </c>
      <c r="N39" s="9">
        <v>14.428210280000002</v>
      </c>
      <c r="O39" s="9">
        <v>0</v>
      </c>
      <c r="P39" s="10">
        <v>49.149017560000004</v>
      </c>
    </row>
    <row r="40" spans="1:16" s="12" customFormat="1" x14ac:dyDescent="0.25">
      <c r="A40" s="13" t="s">
        <v>2</v>
      </c>
      <c r="B40" s="18"/>
      <c r="C40" s="18"/>
      <c r="D40" s="18"/>
      <c r="E40" s="18"/>
      <c r="F40" s="18"/>
      <c r="G40" s="18"/>
      <c r="H40" s="19"/>
      <c r="J40" s="9"/>
      <c r="K40" s="9"/>
      <c r="L40" s="9"/>
      <c r="M40" s="9"/>
      <c r="N40" s="9"/>
      <c r="O40" s="9"/>
      <c r="P40" s="10"/>
    </row>
    <row r="41" spans="1:16" x14ac:dyDescent="0.25">
      <c r="A41" s="8" t="s">
        <v>30</v>
      </c>
      <c r="B41" s="18">
        <v>0.32873534999999998</v>
      </c>
      <c r="C41" s="18">
        <v>5.0212845499999998</v>
      </c>
      <c r="D41" s="18">
        <v>23.308078699999999</v>
      </c>
      <c r="E41" s="18">
        <v>3.0061787200000003</v>
      </c>
      <c r="F41" s="18">
        <v>0.64454827999999997</v>
      </c>
      <c r="G41" s="18">
        <v>0</v>
      </c>
      <c r="H41" s="19">
        <v>32.308825599999999</v>
      </c>
      <c r="J41" s="9">
        <v>0.43383591999999999</v>
      </c>
      <c r="K41" s="9">
        <v>5.9626361500000007</v>
      </c>
      <c r="L41" s="9">
        <v>32.500567119999999</v>
      </c>
      <c r="M41" s="9">
        <v>2.96918981</v>
      </c>
      <c r="N41" s="9">
        <v>0.98246640000000007</v>
      </c>
      <c r="O41" s="9">
        <v>0</v>
      </c>
      <c r="P41" s="10">
        <v>42.848695399999997</v>
      </c>
    </row>
    <row r="42" spans="1:16" x14ac:dyDescent="0.25">
      <c r="A42" s="8" t="s">
        <v>31</v>
      </c>
      <c r="B42" s="18">
        <v>2.0394203700000002</v>
      </c>
      <c r="C42" s="18">
        <v>17.412811250000001</v>
      </c>
      <c r="D42" s="18">
        <v>7.78826149</v>
      </c>
      <c r="E42" s="18">
        <v>2.6654221699999998</v>
      </c>
      <c r="F42" s="18">
        <v>0.86688171999999997</v>
      </c>
      <c r="G42" s="18">
        <v>0</v>
      </c>
      <c r="H42" s="19">
        <v>30.772797000000001</v>
      </c>
      <c r="J42" s="9">
        <v>2.7933593599999997</v>
      </c>
      <c r="K42" s="9">
        <v>17.933826019999998</v>
      </c>
      <c r="L42" s="9">
        <v>6.4315234199999995</v>
      </c>
      <c r="M42" s="9">
        <v>1.91731695</v>
      </c>
      <c r="N42" s="9">
        <v>0.62259924</v>
      </c>
      <c r="O42" s="9">
        <v>0</v>
      </c>
      <c r="P42" s="10">
        <v>29.698624989999999</v>
      </c>
    </row>
    <row r="43" spans="1:16" x14ac:dyDescent="0.25">
      <c r="A43" s="8" t="s">
        <v>33</v>
      </c>
      <c r="B43" s="18">
        <v>2.9083069999999999E-2</v>
      </c>
      <c r="C43" s="18">
        <v>3.06907262</v>
      </c>
      <c r="D43" s="18">
        <v>0.58451478000000001</v>
      </c>
      <c r="E43" s="18">
        <v>14.02499858</v>
      </c>
      <c r="F43" s="18">
        <v>0.37338293</v>
      </c>
      <c r="G43" s="18">
        <v>0</v>
      </c>
      <c r="H43" s="19">
        <v>18.081051980000002</v>
      </c>
      <c r="J43" s="9">
        <v>0</v>
      </c>
      <c r="K43" s="9">
        <v>4.1505459599999996</v>
      </c>
      <c r="L43" s="9">
        <v>0.90669502000000002</v>
      </c>
      <c r="M43" s="9">
        <v>13.990375970000001</v>
      </c>
      <c r="N43" s="9">
        <v>2.2274640800000003</v>
      </c>
      <c r="O43" s="9">
        <v>0</v>
      </c>
      <c r="P43" s="10">
        <v>21.059409479999999</v>
      </c>
    </row>
    <row r="44" spans="1:16" x14ac:dyDescent="0.25">
      <c r="A44" s="8" t="s">
        <v>32</v>
      </c>
      <c r="B44" s="18">
        <v>0.52046099000000001</v>
      </c>
      <c r="C44" s="18">
        <v>3.99618859</v>
      </c>
      <c r="D44" s="18">
        <v>5.1274081100000002</v>
      </c>
      <c r="E44" s="18">
        <v>5.2853602500000001</v>
      </c>
      <c r="F44" s="18">
        <v>2.2999655899999998</v>
      </c>
      <c r="G44" s="18">
        <v>0</v>
      </c>
      <c r="H44" s="19">
        <v>17.22938353</v>
      </c>
      <c r="J44" s="9">
        <v>0.59093821999999996</v>
      </c>
      <c r="K44" s="9">
        <v>4.56714032</v>
      </c>
      <c r="L44" s="9">
        <v>2.39579019</v>
      </c>
      <c r="M44" s="9">
        <v>5.1283634899999999</v>
      </c>
      <c r="N44" s="9">
        <v>1.5239836299999998</v>
      </c>
      <c r="O44" s="9">
        <v>0</v>
      </c>
      <c r="P44" s="10">
        <v>14.20621585</v>
      </c>
    </row>
    <row r="45" spans="1:16" s="12" customFormat="1" ht="14" x14ac:dyDescent="0.25">
      <c r="A45" s="11" t="s">
        <v>44</v>
      </c>
      <c r="B45" s="18">
        <v>10.17152184</v>
      </c>
      <c r="C45" s="18">
        <v>8.9377092399999984</v>
      </c>
      <c r="D45" s="18">
        <v>0.91485070000000301</v>
      </c>
      <c r="E45" s="18">
        <v>29.559795730000005</v>
      </c>
      <c r="F45" s="18">
        <v>3.94536183</v>
      </c>
      <c r="G45" s="9">
        <v>0</v>
      </c>
      <c r="H45" s="19">
        <v>53.620231489999995</v>
      </c>
      <c r="J45" s="9">
        <v>22.300173150000003</v>
      </c>
      <c r="K45" s="9">
        <v>9.6445251400000007</v>
      </c>
      <c r="L45" s="9">
        <v>0.84642596999999886</v>
      </c>
      <c r="M45" s="9">
        <v>27.79788911</v>
      </c>
      <c r="N45" s="9">
        <v>4.2736863000000005</v>
      </c>
      <c r="O45" s="9">
        <v>3.7037250799999999</v>
      </c>
      <c r="P45" s="10">
        <v>68.566424749999996</v>
      </c>
    </row>
    <row r="46" spans="1:16" s="12" customFormat="1" ht="14" x14ac:dyDescent="0.25">
      <c r="A46" s="16" t="s">
        <v>45</v>
      </c>
      <c r="B46" s="18">
        <v>0</v>
      </c>
      <c r="C46" s="18">
        <v>4.0554000000000002E-4</v>
      </c>
      <c r="D46" s="9">
        <v>0</v>
      </c>
      <c r="E46" s="18">
        <v>-1.5099300600000001</v>
      </c>
      <c r="F46" s="18">
        <v>-1.01956761</v>
      </c>
      <c r="G46" s="18">
        <f>71.29889486-1</f>
        <v>70.298894860000004</v>
      </c>
      <c r="H46" s="19">
        <v>68.59969031</v>
      </c>
      <c r="I46" s="12">
        <v>0</v>
      </c>
      <c r="J46" s="9">
        <f>1.37408818-1</f>
        <v>0.37408817999999999</v>
      </c>
      <c r="K46" s="9">
        <v>0</v>
      </c>
      <c r="L46" s="9">
        <v>0</v>
      </c>
      <c r="M46" s="9">
        <v>-8.5443615000000008</v>
      </c>
      <c r="N46" s="9">
        <v>0</v>
      </c>
      <c r="O46" s="9">
        <v>31.756326110000003</v>
      </c>
      <c r="P46" s="10">
        <v>24.483459209999999</v>
      </c>
    </row>
    <row r="47" spans="1:16" ht="12" thickBot="1" x14ac:dyDescent="0.3">
      <c r="A47" s="1" t="s">
        <v>40</v>
      </c>
      <c r="B47" s="28">
        <v>350.99734785000004</v>
      </c>
      <c r="C47" s="28">
        <v>278.13358933999996</v>
      </c>
      <c r="D47" s="28">
        <f>205.42395851+1</f>
        <v>206.42395851000001</v>
      </c>
      <c r="E47" s="28">
        <f>433.49326583+1</f>
        <v>434.49326582999998</v>
      </c>
      <c r="F47" s="28">
        <v>166.59815362000001</v>
      </c>
      <c r="G47" s="28">
        <f>71.38988701-1</f>
        <v>70.389887009999995</v>
      </c>
      <c r="H47" s="29">
        <v>1506.0362020600001</v>
      </c>
      <c r="I47" s="30"/>
      <c r="J47" s="28">
        <f>394.75159359-1</f>
        <v>393.75159359000003</v>
      </c>
      <c r="K47" s="28">
        <v>417.14835485000003</v>
      </c>
      <c r="L47" s="28">
        <v>218.29942437</v>
      </c>
      <c r="M47" s="28">
        <v>480.68495364</v>
      </c>
      <c r="N47" s="28">
        <v>233.81159069</v>
      </c>
      <c r="O47" s="28">
        <v>35.502603190000002</v>
      </c>
      <c r="P47" s="29">
        <v>1780.1985203299998</v>
      </c>
    </row>
    <row r="48" spans="1:16" ht="12" thickTop="1" x14ac:dyDescent="0.25"/>
    <row r="49" spans="1:1" x14ac:dyDescent="0.25">
      <c r="A49" s="17" t="s">
        <v>41</v>
      </c>
    </row>
    <row r="50" spans="1:1" ht="14" x14ac:dyDescent="0.25">
      <c r="A50" s="17" t="s">
        <v>42</v>
      </c>
    </row>
    <row r="51" spans="1:1" ht="14" x14ac:dyDescent="0.25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E53A-0C17-459C-B3AC-D09728A7EFD9}">
  <sheetPr codeName="Sheet1"/>
  <dimension ref="A1:W246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I7" sqref="I7"/>
    </sheetView>
  </sheetViews>
  <sheetFormatPr defaultRowHeight="14.5" x14ac:dyDescent="0.35"/>
  <cols>
    <col min="1" max="1" width="61.08984375" bestFit="1" customWidth="1"/>
    <col min="2" max="2" width="31.36328125" hidden="1" customWidth="1"/>
    <col min="3" max="3" width="27.90625" bestFit="1" customWidth="1"/>
    <col min="4" max="4" width="19.36328125" bestFit="1" customWidth="1"/>
    <col min="5" max="5" width="32.26953125" customWidth="1"/>
    <col min="6" max="6" width="16.7265625" bestFit="1" customWidth="1"/>
    <col min="7" max="7" width="27.90625" bestFit="1" customWidth="1"/>
    <col min="8" max="8" width="39.90625" hidden="1" customWidth="1"/>
    <col min="9" max="9" width="45.54296875" bestFit="1" customWidth="1"/>
    <col min="10" max="10" width="39.36328125" hidden="1" customWidth="1"/>
    <col min="11" max="11" width="16.6328125" bestFit="1" customWidth="1"/>
    <col min="12" max="12" width="27.08984375" bestFit="1" customWidth="1"/>
    <col min="13" max="13" width="26" bestFit="1" customWidth="1"/>
    <col min="14" max="14" width="20.7265625" bestFit="1" customWidth="1"/>
    <col min="15" max="15" width="41.54296875" bestFit="1" customWidth="1"/>
    <col min="16" max="16" width="21.54296875" bestFit="1" customWidth="1"/>
    <col min="17" max="17" width="12.81640625" bestFit="1" customWidth="1"/>
    <col min="18" max="18" width="14.54296875" bestFit="1" customWidth="1"/>
    <col min="19" max="19" width="19.6328125" bestFit="1" customWidth="1"/>
    <col min="20" max="20" width="25.36328125" bestFit="1" customWidth="1"/>
    <col min="21" max="21" width="27.08984375" bestFit="1" customWidth="1"/>
    <col min="22" max="22" width="36.26953125" bestFit="1" customWidth="1"/>
    <col min="23" max="23" width="31.36328125" bestFit="1" customWidth="1"/>
    <col min="24" max="24" width="40.1796875" bestFit="1" customWidth="1"/>
    <col min="25" max="25" width="21.26953125" bestFit="1" customWidth="1"/>
    <col min="26" max="26" width="36.81640625" bestFit="1" customWidth="1"/>
    <col min="27" max="27" width="20.7265625" bestFit="1" customWidth="1"/>
    <col min="28" max="28" width="13.90625" bestFit="1" customWidth="1"/>
    <col min="29" max="29" width="27.08984375" bestFit="1" customWidth="1"/>
    <col min="30" max="30" width="56.1796875" bestFit="1" customWidth="1"/>
    <col min="31" max="31" width="27.90625" bestFit="1" customWidth="1"/>
    <col min="32" max="33" width="30.6328125" bestFit="1" customWidth="1"/>
    <col min="34" max="34" width="14.54296875" bestFit="1" customWidth="1"/>
    <col min="35" max="35" width="19.6328125" bestFit="1" customWidth="1"/>
    <col min="36" max="36" width="25.36328125" bestFit="1" customWidth="1"/>
    <col min="37" max="37" width="27.08984375" bestFit="1" customWidth="1"/>
    <col min="38" max="38" width="36.26953125" bestFit="1" customWidth="1"/>
    <col min="39" max="39" width="31.36328125" bestFit="1" customWidth="1"/>
    <col min="40" max="40" width="38.54296875" bestFit="1" customWidth="1"/>
    <col min="41" max="41" width="33.36328125" bestFit="1" customWidth="1"/>
    <col min="42" max="42" width="27" bestFit="1" customWidth="1"/>
    <col min="43" max="43" width="29.81640625" bestFit="1" customWidth="1"/>
    <col min="44" max="44" width="41.1796875" bestFit="1" customWidth="1"/>
    <col min="45" max="45" width="19.6328125" bestFit="1" customWidth="1"/>
    <col min="46" max="46" width="25.36328125" bestFit="1" customWidth="1"/>
    <col min="47" max="47" width="27.08984375" bestFit="1" customWidth="1"/>
    <col min="48" max="48" width="36.26953125" bestFit="1" customWidth="1"/>
    <col min="49" max="49" width="31.36328125" bestFit="1" customWidth="1"/>
  </cols>
  <sheetData>
    <row r="1" spans="1:23" x14ac:dyDescent="0.35">
      <c r="A1" s="39" t="str">
        <f xml:space="preserve"> _xll.EPMOlapMemberO("[CATEGORY].[PARENTH1].[ACTUAL]","","ACTUAL - Actual Results","","000")</f>
        <v>ACTUAL - Actual Results</v>
      </c>
    </row>
    <row r="2" spans="1:23" x14ac:dyDescent="0.35">
      <c r="A2" s="39" t="str">
        <f xml:space="preserve"> _xll.EPMOlapMemberO("[REPORTING_LINE].[PARENTH1].[F_NET_SALES]","","F_NET_SALES - Net Sales","","000")</f>
        <v>F_NET_SALES - Net Sales</v>
      </c>
    </row>
    <row r="3" spans="1:23" x14ac:dyDescent="0.35">
      <c r="A3" s="39" t="str">
        <f xml:space="preserve"> _xll.EPMOlapMemberO("[MEASURES].[].[QTD]","","QTD - Quarter To Date","","000")</f>
        <v>QTD - Quarter To Date</v>
      </c>
    </row>
    <row r="4" spans="1:23" x14ac:dyDescent="0.35">
      <c r="A4" s="39" t="str">
        <f xml:space="preserve"> _xll.EPMOlapMemberO("[TIME].[PARENTH1].[2021.09]","","2021.09 - Sep-21","","000")</f>
        <v>2021.09 - Sep-21</v>
      </c>
      <c r="B4" s="39"/>
    </row>
    <row r="5" spans="1:23" x14ac:dyDescent="0.35">
      <c r="B5" s="39"/>
    </row>
    <row r="6" spans="1:23" x14ac:dyDescent="0.35">
      <c r="A6" s="40"/>
      <c r="B6" s="31"/>
    </row>
    <row r="7" spans="1:23" x14ac:dyDescent="0.35">
      <c r="A7" s="40"/>
      <c r="B7" s="54" t="str">
        <f xml:space="preserve"> _xll.EPMOlapMemberO("[ORGANIZATION].[PARENTH1].[OCO_GBL_FRAN]","","OCO_GBL_FRAN - Global Franchises","","000")</f>
        <v>OCO_GBL_FRAN - Global Franchises</v>
      </c>
      <c r="C7" s="54" t="str">
        <f xml:space="preserve"> _xll.EPMOlapMemberO("[ORGANIZATION].[PARENTH1].[OCO_USPR]","","OCO_USPR - US and Puerto Rico","","000")</f>
        <v>OCO_USPR - US and Puerto Rico</v>
      </c>
      <c r="D7" s="54" t="str">
        <f xml:space="preserve"> _xll.EPMOlapMemberO("[ORGANIZATION].[PARENTH1].[OCO_CN]","","OCO_CN - China Total","","000")</f>
        <v>OCO_CN - China Total</v>
      </c>
      <c r="E7" s="54" t="str">
        <f xml:space="preserve"> _xll.EPMOlapMemberO("[ORGANIZATION].[PARENTH1].[OCO_EEMEA_LATAM]","","OCO_EEMEA_LATAM - EEMEA &amp; LATAM","","000")</f>
        <v>OCO_EEMEA_LATAM - EEMEA &amp; LATAM</v>
      </c>
      <c r="F7" s="54" t="str">
        <f xml:space="preserve"> _xll.EPMOlapMemberO("[ORGANIZATION].[PARENTH1].[OCO_APAC]","","OCO_APAC - APAC","","000")</f>
        <v>OCO_APAC - APAC</v>
      </c>
      <c r="G7" s="54" t="str">
        <f xml:space="preserve"> _xll.EPMOlapMemberO("[ORGANIZATION].[PARENTH1].[OCO_EUCAN]","","OCO_EUCAN - Europe &amp; Canada","","000")</f>
        <v>OCO_EUCAN - Europe &amp; Canada</v>
      </c>
      <c r="H7" s="54" t="str">
        <f xml:space="preserve"> _xll.EPMOlapMemberO("[ORGANIZATION].[PARENTH1].[OCO_COMM_OPS_HQ]","","OCO_COMM_OPS_HQ - Commercial Ops (HQ)","","000")</f>
        <v>OCO_COMM_OPS_HQ - Commercial Ops (HQ)</v>
      </c>
      <c r="I7" s="54" t="str">
        <f xml:space="preserve"> _xll.EPMOlapMemberO("[ORGANIZATION].[PARENTH1].[OCO_COMM_OPS_ADJ]","","OCO_COMM_OPS_ADJ - Commercial Ops Global Adj","","000")</f>
        <v>OCO_COMM_OPS_ADJ - Commercial Ops Global Adj</v>
      </c>
      <c r="J7" s="54" t="str">
        <f xml:space="preserve"> _xll.EPMOlapMemberO("[ORGANIZATION].[PARENTH1].[OCO_COADMIN]","","OCO_COADMIN - HQ Commercial Ops Admin","","000")</f>
        <v>OCO_COADMIN - HQ Commercial Ops Admin</v>
      </c>
      <c r="K7" s="59" t="str">
        <f xml:space="preserve"> _xll.EPMOlapMemberO("[ORGANIZATION].[PARENTH1].[OCO]","","OCO - Commercial","","000")</f>
        <v>OCO - Commercial</v>
      </c>
      <c r="L7" s="60" t="str">
        <f xml:space="preserve"> _xll.EPMOlapMemberO("[ORGANIZATION].[PARENTH1].[GBS]","","GBS - Global Business Services","","000")</f>
        <v>GBS - Global Business Services</v>
      </c>
      <c r="M7" s="60" t="str">
        <f xml:space="preserve"> _xll.EPMOlapMemberO("[ORGANIZATION].[PARENTH1].[OIT]","","OIT - Information Technology","","000")</f>
        <v>OIT - Information Technology</v>
      </c>
      <c r="N7" s="60" t="str">
        <f xml:space="preserve"> _xll.EPMOlapMemberO("[ORGANIZATION].[PARENTH1].[OGC]","","OGC - General Counsel","","000")</f>
        <v>OGC - General Counsel</v>
      </c>
      <c r="O7" s="60" t="str">
        <f xml:space="preserve"> _xll.EPMOlapMemberO("[ORGANIZATION].[PARENTH1].[OEG]","","OEG - External Affairs &amp; Corporate Governance","","000")</f>
        <v>OEG - External Affairs &amp; Corporate Governance</v>
      </c>
      <c r="P7" s="60" t="str">
        <f xml:space="preserve"> _xll.EPMOlapMemberO("[ORGANIZATION].[PARENTH1].[OHR]","","OHR - Human Resources","","000")</f>
        <v>OHR - Human Resources</v>
      </c>
      <c r="Q7" s="60" t="str">
        <f xml:space="preserve"> _xll.EPMOlapMemberO("[ORGANIZATION].[PARENTH1].[OFO]","","OFO - Finance","","000")</f>
        <v>OFO - Finance</v>
      </c>
      <c r="R7" s="60" t="str">
        <f xml:space="preserve"> _xll.EPMOlapMemberO("[ORGANIZATION].[PARENTH1].[OCR]","","OCR - Corporate","","000")</f>
        <v>OCR - Corporate</v>
      </c>
      <c r="S7" s="60" t="str">
        <f xml:space="preserve"> _xll.EPMOlapMemberO("[ORGANIZATION].[PARENTH1].[OMG]","","OMG - Manufacturing","","000")</f>
        <v>OMG - Manufacturing</v>
      </c>
      <c r="T7" s="60" t="str">
        <f xml:space="preserve"> _xll.EPMOlapMemberO("[ORGANIZATION].[PARENTH1].[ORT]","","ORT - Organon Restructuring","","000")</f>
        <v>ORT - Organon Restructuring</v>
      </c>
      <c r="U7" s="60" t="str">
        <f xml:space="preserve"> _xll.EPMOlapMemberO("[ORGANIZATION].[PARENTH1].[NONE_ORG]","","NONE_ORG - No Organon Orgs","","000")</f>
        <v>NONE_ORG - No Organon Orgs</v>
      </c>
      <c r="V7" s="60" t="str">
        <f xml:space="preserve"> _xll.EPMOlapMemberO("[ORGANIZATION].[PARENTH1].[ORD]","","ORD - Organon Research &amp; Development","","000")</f>
        <v>ORD - Organon Research &amp; Development</v>
      </c>
      <c r="W7" s="55" t="str">
        <f xml:space="preserve"> _xll.EPMOlapMemberO("[ORGANIZATION].[PARENTH1].[ORGANON]","","ORGANON - Organon - All Divisions","","000")</f>
        <v>ORGANON - Organon - All Divisions</v>
      </c>
    </row>
    <row r="8" spans="1:23" x14ac:dyDescent="0.35">
      <c r="A8" s="44" t="str">
        <f xml:space="preserve"> _xll.EPMOlapMemberO("[PRODUCT].[PARENTH1].[JDA]","","JDA - Jada","","000")</f>
        <v>JDA - Jada</v>
      </c>
      <c r="B8" s="53"/>
      <c r="C8" s="53"/>
      <c r="D8" s="53"/>
      <c r="E8" s="53"/>
      <c r="F8" s="53"/>
      <c r="G8" s="53"/>
      <c r="H8" s="53"/>
      <c r="I8" s="58"/>
      <c r="J8" s="5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x14ac:dyDescent="0.35">
      <c r="A9" s="43" t="str">
        <f xml:space="preserve"> _xll.EPMOlapMemberO("[PRODUCT].[PARENTH1].[XPL]","","XPL - Nexplanon","","000")</f>
        <v>XPL - Nexplanon</v>
      </c>
      <c r="B9" s="53"/>
      <c r="C9" s="53">
        <v>119632346.95</v>
      </c>
      <c r="D9" s="53">
        <v>113769.14</v>
      </c>
      <c r="E9" s="53">
        <v>24678533.870000001</v>
      </c>
      <c r="F9" s="53">
        <v>9200362.5899999999</v>
      </c>
      <c r="G9" s="53">
        <v>21544083.870000001</v>
      </c>
      <c r="H9" s="53"/>
      <c r="I9" s="58">
        <v>0</v>
      </c>
      <c r="J9" s="53"/>
      <c r="K9" s="31">
        <v>175169096.41999999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>
        <v>175169096.41999999</v>
      </c>
    </row>
    <row r="10" spans="1:23" x14ac:dyDescent="0.35">
      <c r="A10" s="43" t="str">
        <f xml:space="preserve"> _xll.EPMOlapMemberO("[PRODUCT].[PARENTH1].[ITA]","","ITA - Implanon Training Applicator","","000")</f>
        <v>ITA - Implanon Training Applicator</v>
      </c>
      <c r="B10" s="53"/>
      <c r="C10" s="53">
        <v>0.03</v>
      </c>
      <c r="D10" s="53"/>
      <c r="E10" s="53">
        <v>1485.02</v>
      </c>
      <c r="F10" s="53"/>
      <c r="G10" s="53"/>
      <c r="H10" s="53"/>
      <c r="I10" s="58">
        <v>-436621.5</v>
      </c>
      <c r="J10" s="53"/>
      <c r="K10" s="31">
        <v>-435136.45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>
        <v>-435136.45</v>
      </c>
    </row>
    <row r="11" spans="1:23" x14ac:dyDescent="0.35">
      <c r="A11" s="43" t="str">
        <f xml:space="preserve"> _xll.EPMOlapMemberO("[PRODUCT].[PARENTH1].[NOM]","","NOM - Nomac/E2","","000")</f>
        <v>NOM - Nomac/E2</v>
      </c>
      <c r="B11" s="53"/>
      <c r="C11" s="53"/>
      <c r="D11" s="53"/>
      <c r="E11" s="53"/>
      <c r="F11" s="53"/>
      <c r="G11" s="53"/>
      <c r="H11" s="53"/>
      <c r="I11" s="58"/>
      <c r="J11" s="53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x14ac:dyDescent="0.35">
      <c r="A12" s="43" t="str">
        <f xml:space="preserve"> _xll.EPMOlapMemberO("[PRODUCT].[PARENTH1].[XNU]","","XNU - Nuvaring","","000")</f>
        <v>XNU - Nuvaring</v>
      </c>
      <c r="B12" s="53"/>
      <c r="C12" s="53">
        <v>20976347.559999999</v>
      </c>
      <c r="D12" s="53"/>
      <c r="E12" s="53">
        <v>8033823.9299999997</v>
      </c>
      <c r="F12" s="53">
        <v>419071.22</v>
      </c>
      <c r="G12" s="53">
        <v>19260279.550000001</v>
      </c>
      <c r="H12" s="53"/>
      <c r="I12" s="58"/>
      <c r="J12" s="53"/>
      <c r="K12" s="31">
        <v>48689522.259999998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>
        <v>48689522.259999998</v>
      </c>
    </row>
    <row r="13" spans="1:23" x14ac:dyDescent="0.35">
      <c r="A13" s="43" t="str">
        <f xml:space="preserve"> _xll.EPMOlapMemberO("[PRODUCT].[PARENTH1].[BGW]","","BGW - Nuvaring AG","","000")</f>
        <v>BGW - Nuvaring AG</v>
      </c>
      <c r="B13" s="53"/>
      <c r="C13" s="53">
        <v>12259968.48</v>
      </c>
      <c r="D13" s="53"/>
      <c r="E13" s="53"/>
      <c r="F13" s="53"/>
      <c r="G13" s="53"/>
      <c r="H13" s="53"/>
      <c r="I13" s="58"/>
      <c r="J13" s="53"/>
      <c r="K13" s="31">
        <v>12259968.48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>
        <v>12259968.48</v>
      </c>
    </row>
    <row r="14" spans="1:23" x14ac:dyDescent="0.35">
      <c r="A14" s="47" t="str">
        <f xml:space="preserve"> _xll.EPMOlapMemberO("[PRODUCT].[PARENTH1].[XMC]","","XMC - Mercilon Mircette","","000")</f>
        <v>XMC - Mercilon Mircette</v>
      </c>
      <c r="B14" s="53"/>
      <c r="C14" s="53"/>
      <c r="D14" s="53"/>
      <c r="E14" s="53">
        <v>4947357.59</v>
      </c>
      <c r="F14" s="53">
        <v>3368048.09</v>
      </c>
      <c r="G14" s="53">
        <v>2741268.55</v>
      </c>
      <c r="H14" s="53"/>
      <c r="I14" s="58"/>
      <c r="J14" s="53"/>
      <c r="K14" s="31">
        <v>11056674.23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>
        <v>11056674.23</v>
      </c>
    </row>
    <row r="15" spans="1:23" x14ac:dyDescent="0.35">
      <c r="A15" s="47" t="str">
        <f xml:space="preserve"> _xll.EPMOlapMemberO("[PRODUCT].[PARENTH1].[EDU]","","EDU - Ethinylestradiol and Desogestrel Bulk","","000")</f>
        <v>EDU - Ethinylestradiol and Desogestrel Bulk</v>
      </c>
      <c r="B15" s="53"/>
      <c r="C15" s="53"/>
      <c r="D15" s="53"/>
      <c r="E15" s="53"/>
      <c r="F15" s="53"/>
      <c r="G15" s="53">
        <v>174642.31</v>
      </c>
      <c r="H15" s="53"/>
      <c r="I15" s="58"/>
      <c r="J15" s="53"/>
      <c r="K15" s="31">
        <v>174642.31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>
        <v>174642.31</v>
      </c>
    </row>
    <row r="16" spans="1:23" x14ac:dyDescent="0.35">
      <c r="A16" s="43" t="str">
        <f xml:space="preserve"> _xll.EPMOlapMemberO("[PRODUCT].[PARENTH1].[MERCILON]","","MERCILON - Mercilon Products","","000")</f>
        <v>MERCILON - Mercilon Products</v>
      </c>
      <c r="B16" s="53"/>
      <c r="C16" s="53"/>
      <c r="D16" s="53"/>
      <c r="E16" s="53">
        <v>4947357.59</v>
      </c>
      <c r="F16" s="53">
        <v>3368048.09</v>
      </c>
      <c r="G16" s="53">
        <v>2915910.86</v>
      </c>
      <c r="H16" s="53"/>
      <c r="I16" s="58"/>
      <c r="J16" s="53"/>
      <c r="K16" s="31">
        <v>11231316.539999999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>
        <v>11231316.539999999</v>
      </c>
    </row>
    <row r="17" spans="1:23" x14ac:dyDescent="0.35">
      <c r="A17" s="43" t="str">
        <f xml:space="preserve"> _xll.EPMOlapMemberO("[PRODUCT].[PARENTH1].[XMA]","","XMA - Marvelon Desogen","","000")</f>
        <v>XMA - Marvelon Desogen</v>
      </c>
      <c r="B17" s="53"/>
      <c r="C17" s="53"/>
      <c r="D17" s="53"/>
      <c r="E17" s="53">
        <v>4195464.59</v>
      </c>
      <c r="F17" s="53">
        <v>6416227.9000000004</v>
      </c>
      <c r="G17" s="53">
        <v>3826604.93</v>
      </c>
      <c r="H17" s="53"/>
      <c r="I17" s="58"/>
      <c r="J17" s="53"/>
      <c r="K17" s="31">
        <v>14438297.42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>
        <v>14438297.42</v>
      </c>
    </row>
    <row r="18" spans="1:23" x14ac:dyDescent="0.35">
      <c r="A18" s="43" t="str">
        <f xml:space="preserve"> _xll.EPMOlapMemberO("[PRODUCT].[PARENTH1].[XCE]","","XCE - Cerazette","","000")</f>
        <v>XCE - Cerazette</v>
      </c>
      <c r="B18" s="53"/>
      <c r="C18" s="53"/>
      <c r="D18" s="53"/>
      <c r="E18" s="53">
        <v>6386937.9400000004</v>
      </c>
      <c r="F18" s="53">
        <v>466039.57</v>
      </c>
      <c r="G18" s="53">
        <v>11623274.33</v>
      </c>
      <c r="H18" s="53"/>
      <c r="I18" s="58"/>
      <c r="J18" s="53"/>
      <c r="K18" s="31">
        <v>18476251.84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>
        <v>18476251.84</v>
      </c>
    </row>
    <row r="19" spans="1:23" x14ac:dyDescent="0.35">
      <c r="A19" s="43" t="str">
        <f xml:space="preserve"> _xll.EPMOlapMemberO("[PRODUCT].[PARENTH1].[XQQ]","","XQQ - Desogestrel-Ethinylestradiol","","000")</f>
        <v>XQQ - Desogestrel-Ethinylestradiol</v>
      </c>
      <c r="B19" s="53"/>
      <c r="C19" s="53"/>
      <c r="D19" s="53"/>
      <c r="E19" s="53">
        <v>531055.88</v>
      </c>
      <c r="F19" s="53"/>
      <c r="G19" s="53"/>
      <c r="H19" s="53"/>
      <c r="I19" s="58"/>
      <c r="J19" s="53"/>
      <c r="K19" s="31">
        <v>531055.88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>
        <v>531055.88</v>
      </c>
    </row>
    <row r="20" spans="1:23" x14ac:dyDescent="0.35">
      <c r="A20" s="43" t="str">
        <f xml:space="preserve"> _xll.EPMOlapMemberO("[PRODUCT].[PARENTH1].[XLL]","","XLL - Exluton","","000")</f>
        <v>XLL - Exluton</v>
      </c>
      <c r="B20" s="53"/>
      <c r="C20" s="53"/>
      <c r="D20" s="53"/>
      <c r="E20" s="53">
        <v>75524.25</v>
      </c>
      <c r="F20" s="53">
        <v>798015.63</v>
      </c>
      <c r="G20" s="53">
        <v>652601.87</v>
      </c>
      <c r="H20" s="53"/>
      <c r="I20" s="58"/>
      <c r="J20" s="53"/>
      <c r="K20" s="31">
        <v>1526141.75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>
        <v>1526141.75</v>
      </c>
    </row>
    <row r="21" spans="1:23" x14ac:dyDescent="0.35">
      <c r="A21" s="44" t="str">
        <f xml:space="preserve"> _xll.EPMOlapMemberO("[PRODUCT].[PARENTH1].[CONTRACEPTIVE]","","CONTRACEPTIVE - Contraception","","000")</f>
        <v>CONTRACEPTIVE - Contraception</v>
      </c>
      <c r="B21" s="53"/>
      <c r="C21" s="53">
        <v>152868663.02000001</v>
      </c>
      <c r="D21" s="53">
        <v>113769.14</v>
      </c>
      <c r="E21" s="53">
        <v>48850183.07</v>
      </c>
      <c r="F21" s="53">
        <v>20667765</v>
      </c>
      <c r="G21" s="53">
        <v>59822755.409999996</v>
      </c>
      <c r="H21" s="53"/>
      <c r="I21" s="58">
        <v>-436621.5</v>
      </c>
      <c r="J21" s="53"/>
      <c r="K21" s="31">
        <v>281886514.13999999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281886514.13999999</v>
      </c>
    </row>
    <row r="22" spans="1:23" x14ac:dyDescent="0.35">
      <c r="A22" s="49" t="str">
        <f xml:space="preserve"> _xll.EPMOlapMemberO("[PRODUCT].[PARENTH1].[WOMENS_HEALTH_FRANCH]","","WOMENS_HEALTH_FRANCH - Women�s Health Franchise","","000")</f>
        <v>WOMENS_HEALTH_FRANCH - Women�s Health Franchise</v>
      </c>
      <c r="B22" s="53"/>
      <c r="C22" s="53">
        <v>152868663.02000001</v>
      </c>
      <c r="D22" s="53">
        <v>113769.14</v>
      </c>
      <c r="E22" s="53">
        <v>48850183.07</v>
      </c>
      <c r="F22" s="53">
        <v>20667765</v>
      </c>
      <c r="G22" s="53">
        <v>59822755.409999996</v>
      </c>
      <c r="H22" s="53"/>
      <c r="I22" s="58">
        <v>-436621.5</v>
      </c>
      <c r="J22" s="53"/>
      <c r="K22" s="31">
        <v>281886514.13999999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>
        <v>281886514.13999999</v>
      </c>
    </row>
    <row r="23" spans="1:23" x14ac:dyDescent="0.35">
      <c r="A23" s="44" t="str">
        <f xml:space="preserve"> _xll.EPMOlapMemberO("[PRODUCT].[PARENTH1].[XGL]","","XGL - Orgalutran","","000")</f>
        <v>XGL - Orgalutran</v>
      </c>
      <c r="B23" s="53"/>
      <c r="C23" s="53">
        <v>5310602.37</v>
      </c>
      <c r="D23" s="53">
        <v>6208843.54</v>
      </c>
      <c r="E23" s="53">
        <v>1871868.37</v>
      </c>
      <c r="F23" s="53">
        <v>4788821.05</v>
      </c>
      <c r="G23" s="53">
        <v>7121934.1100000003</v>
      </c>
      <c r="H23" s="53"/>
      <c r="I23" s="58"/>
      <c r="J23" s="53"/>
      <c r="K23" s="31">
        <v>25302069.440000001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>
        <v>25302069.440000001</v>
      </c>
    </row>
    <row r="24" spans="1:23" x14ac:dyDescent="0.35">
      <c r="A24" s="44" t="str">
        <f xml:space="preserve"> _xll.EPMOlapMemberO("[PRODUCT].[PARENTH1].[ELO]","","ELO - Elonva","","000")</f>
        <v>ELO - Elonva</v>
      </c>
      <c r="B24" s="53"/>
      <c r="C24" s="53"/>
      <c r="D24" s="53"/>
      <c r="E24" s="53">
        <v>1546885.15</v>
      </c>
      <c r="F24" s="53">
        <v>1051726.33</v>
      </c>
      <c r="G24" s="53">
        <v>2979411.25</v>
      </c>
      <c r="H24" s="53"/>
      <c r="I24" s="58"/>
      <c r="J24" s="53"/>
      <c r="K24" s="31">
        <v>5578022.7300000004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>
        <v>5578022.7300000004</v>
      </c>
    </row>
    <row r="25" spans="1:23" x14ac:dyDescent="0.35">
      <c r="A25" s="44" t="str">
        <f xml:space="preserve"> _xll.EPMOlapMemberO("[PRODUCT].[PARENTH1].[XPU]","","XPU - Follistim Puregon","","000")</f>
        <v>XPU - Follistim Puregon</v>
      </c>
      <c r="B25" s="53"/>
      <c r="C25" s="53">
        <v>28897454.52</v>
      </c>
      <c r="D25" s="53">
        <v>16392063.109999999</v>
      </c>
      <c r="E25" s="53">
        <v>2051438.32</v>
      </c>
      <c r="F25" s="53">
        <v>5419728.4114880003</v>
      </c>
      <c r="G25" s="53">
        <v>8338358.1399999997</v>
      </c>
      <c r="H25" s="53"/>
      <c r="I25" s="58"/>
      <c r="J25" s="53"/>
      <c r="K25" s="31">
        <v>61099042.501488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>
        <v>61099042.501488</v>
      </c>
    </row>
    <row r="26" spans="1:23" x14ac:dyDescent="0.35">
      <c r="A26" s="44" t="str">
        <f xml:space="preserve"> _xll.EPMOlapMemberO("[PRODUCT].[PARENTH1].[PRG]","","PRG - Pregnyl","","000")</f>
        <v>PRG - Pregnyl</v>
      </c>
      <c r="B26" s="53"/>
      <c r="C26" s="53">
        <v>6093414.2400000002</v>
      </c>
      <c r="D26" s="53"/>
      <c r="E26" s="53">
        <v>231543</v>
      </c>
      <c r="F26" s="53">
        <v>-22123.51</v>
      </c>
      <c r="G26" s="53">
        <v>797393.13</v>
      </c>
      <c r="H26" s="53"/>
      <c r="I26" s="58"/>
      <c r="J26" s="53"/>
      <c r="K26" s="31">
        <v>7100226.8600000003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>
        <v>7100226.8600000003</v>
      </c>
    </row>
    <row r="27" spans="1:23" x14ac:dyDescent="0.35">
      <c r="A27" s="49" t="str">
        <f xml:space="preserve"> _xll.EPMOlapMemberO("[PRODUCT].[PARENTH1].[FERTILITY]","","FERTILITY - Fertility","","000")</f>
        <v>FERTILITY - Fertility</v>
      </c>
      <c r="B27" s="53"/>
      <c r="C27" s="53">
        <v>40301471.130000003</v>
      </c>
      <c r="D27" s="53">
        <v>22600906.649999999</v>
      </c>
      <c r="E27" s="53">
        <v>5701734.8399999999</v>
      </c>
      <c r="F27" s="53">
        <v>11238152.281487999</v>
      </c>
      <c r="G27" s="53">
        <v>19237096.629999999</v>
      </c>
      <c r="H27" s="53"/>
      <c r="I27" s="58"/>
      <c r="J27" s="53"/>
      <c r="K27" s="31">
        <v>99079361.531488001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>
        <v>99079361.531488001</v>
      </c>
    </row>
    <row r="28" spans="1:23" x14ac:dyDescent="0.35">
      <c r="A28" s="46" t="str">
        <f xml:space="preserve"> _xll.EPMOlapMemberO("[PRODUCT].[PARENTH1].[WOMENS_HEALTH]","","WOMENS_HEALTH - Total Women's Health","","000")</f>
        <v>WOMENS_HEALTH - Total Women's Health</v>
      </c>
      <c r="B28" s="53"/>
      <c r="C28" s="53">
        <v>193170134.15000001</v>
      </c>
      <c r="D28" s="53">
        <v>22714675.789999999</v>
      </c>
      <c r="E28" s="53">
        <v>54551917.909999996</v>
      </c>
      <c r="F28" s="53">
        <v>31905917.281488001</v>
      </c>
      <c r="G28" s="53">
        <v>79059852.040000007</v>
      </c>
      <c r="H28" s="53"/>
      <c r="I28" s="58">
        <v>-436621.5</v>
      </c>
      <c r="J28" s="53"/>
      <c r="K28" s="31">
        <v>380965875.67148799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>
        <v>380965875.67148799</v>
      </c>
    </row>
    <row r="29" spans="1:23" x14ac:dyDescent="0.35">
      <c r="A29" s="44" t="str">
        <f xml:space="preserve"> _xll.EPMOlapMemberO("[PRODUCT].[PARENTH1].[ETA]","","ETA - Brenzys","","000")</f>
        <v>ETA - Brenzys</v>
      </c>
      <c r="B29" s="53"/>
      <c r="C29" s="53"/>
      <c r="D29" s="53"/>
      <c r="E29" s="53">
        <v>2884542.25</v>
      </c>
      <c r="F29" s="53">
        <v>4753731.53</v>
      </c>
      <c r="G29" s="53">
        <v>6193721.6299999999</v>
      </c>
      <c r="H29" s="53"/>
      <c r="I29" s="58"/>
      <c r="J29" s="53"/>
      <c r="K29" s="31">
        <v>13831995.41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>
        <v>13831995.41</v>
      </c>
    </row>
    <row r="30" spans="1:23" x14ac:dyDescent="0.35">
      <c r="A30" s="44" t="str">
        <f xml:space="preserve"> _xll.EPMOlapMemberO("[PRODUCT].[PARENTH1].[SBT]","","SBT - Renflexis","","000")</f>
        <v>SBT - Renflexis</v>
      </c>
      <c r="B30" s="53"/>
      <c r="C30" s="53">
        <v>48339494.780000001</v>
      </c>
      <c r="D30" s="53"/>
      <c r="E30" s="53"/>
      <c r="F30" s="53">
        <v>1048162.08</v>
      </c>
      <c r="G30" s="53">
        <v>4836478.7699999996</v>
      </c>
      <c r="H30" s="53"/>
      <c r="I30" s="58"/>
      <c r="J30" s="53"/>
      <c r="K30" s="31">
        <v>54224135.630000003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>
        <v>54224135.630000003</v>
      </c>
    </row>
    <row r="31" spans="1:23" x14ac:dyDescent="0.35">
      <c r="A31" s="44" t="str">
        <f xml:space="preserve"> _xll.EPMOlapMemberO("[PRODUCT].[PARENTH1].[OBP]","","OBP - Other Biosimilar Products","","000")</f>
        <v>OBP - Other Biosimilar Products</v>
      </c>
      <c r="B31" s="53"/>
      <c r="C31" s="53"/>
      <c r="D31" s="53"/>
      <c r="E31" s="53"/>
      <c r="F31" s="53"/>
      <c r="G31" s="53"/>
      <c r="H31" s="53"/>
      <c r="I31" s="58"/>
      <c r="J31" s="53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x14ac:dyDescent="0.35">
      <c r="A32" s="44" t="str">
        <f xml:space="preserve"> _xll.EPMOlapMemberO("[PRODUCT].[PARENTH1].[ADA]","","ADA - Hadlima","","000")</f>
        <v>ADA - Hadlima</v>
      </c>
      <c r="B32" s="53"/>
      <c r="C32" s="53"/>
      <c r="D32" s="53"/>
      <c r="E32" s="53"/>
      <c r="F32" s="53">
        <v>3325892.31</v>
      </c>
      <c r="G32" s="53">
        <v>1879336</v>
      </c>
      <c r="H32" s="53"/>
      <c r="I32" s="58"/>
      <c r="J32" s="53"/>
      <c r="K32" s="31">
        <v>5205228.3099999996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>
        <v>5205228.3099999996</v>
      </c>
    </row>
    <row r="33" spans="1:23" x14ac:dyDescent="0.35">
      <c r="A33" s="49" t="str">
        <f xml:space="preserve"> _xll.EPMOlapMemberO("[PRODUCT].[PARENTH1].[MBIOVEN]","","MBIOVEN - Biosimilars - Immunology","","000")</f>
        <v>MBIOVEN - Biosimilars - Immunology</v>
      </c>
      <c r="B33" s="53"/>
      <c r="C33" s="53">
        <v>48339494.780000001</v>
      </c>
      <c r="D33" s="53"/>
      <c r="E33" s="53">
        <v>2884542.25</v>
      </c>
      <c r="F33" s="53">
        <v>9127785.9199999999</v>
      </c>
      <c r="G33" s="53">
        <v>12909536.4</v>
      </c>
      <c r="H33" s="53"/>
      <c r="I33" s="58"/>
      <c r="J33" s="53"/>
      <c r="K33" s="31">
        <v>73261359.349999994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>
        <v>73261359.349999994</v>
      </c>
    </row>
    <row r="34" spans="1:23" x14ac:dyDescent="0.35">
      <c r="A34" s="44" t="str">
        <f xml:space="preserve"> _xll.EPMOlapMemberO("[PRODUCT].[PARENTH1].[SBF]","","SBF - Ontruzant","","000")</f>
        <v>SBF - Ontruzant</v>
      </c>
      <c r="B34" s="53"/>
      <c r="C34" s="53">
        <v>8681597.1600000001</v>
      </c>
      <c r="D34" s="53"/>
      <c r="E34" s="53">
        <v>34683985.880000003</v>
      </c>
      <c r="F34" s="53">
        <v>613558.56000000006</v>
      </c>
      <c r="G34" s="53">
        <v>11644705.4</v>
      </c>
      <c r="H34" s="53"/>
      <c r="I34" s="58"/>
      <c r="J34" s="53"/>
      <c r="K34" s="31">
        <v>55623847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>
        <v>55623847</v>
      </c>
    </row>
    <row r="35" spans="1:23" x14ac:dyDescent="0.35">
      <c r="A35" s="44" t="str">
        <f xml:space="preserve"> _xll.EPMOlapMemberO("[PRODUCT].[PARENTH1].[SBE]","","SBE - Aybintio","","000")</f>
        <v>SBE - Aybintio</v>
      </c>
      <c r="B35" s="53"/>
      <c r="C35" s="53"/>
      <c r="D35" s="53"/>
      <c r="E35" s="53"/>
      <c r="F35" s="53"/>
      <c r="G35" s="53">
        <v>10165626.189999999</v>
      </c>
      <c r="H35" s="53"/>
      <c r="I35" s="58"/>
      <c r="J35" s="53"/>
      <c r="K35" s="31">
        <v>10165626.189999999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>
        <v>10165626.189999999</v>
      </c>
    </row>
    <row r="36" spans="1:23" x14ac:dyDescent="0.35">
      <c r="A36" s="49" t="str">
        <f xml:space="preserve"> _xll.EPMOlapMemberO("[PRODUCT].[PARENTH1].[OBIO]","","OBIO - Biosimilars - Oncology","","000")</f>
        <v>OBIO - Biosimilars - Oncology</v>
      </c>
      <c r="B36" s="53"/>
      <c r="C36" s="53">
        <v>8681597.1600000001</v>
      </c>
      <c r="D36" s="53"/>
      <c r="E36" s="53">
        <v>34683985.880000003</v>
      </c>
      <c r="F36" s="53">
        <v>613558.56000000006</v>
      </c>
      <c r="G36" s="53">
        <v>21810331.59</v>
      </c>
      <c r="H36" s="53"/>
      <c r="I36" s="58"/>
      <c r="J36" s="53"/>
      <c r="K36" s="31">
        <v>65789473.189999998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>
        <v>65789473.189999998</v>
      </c>
    </row>
    <row r="37" spans="1:23" x14ac:dyDescent="0.35">
      <c r="A37" s="46" t="str">
        <f xml:space="preserve"> _xll.EPMOlapMemberO("[PRODUCT].[PARENTH1].[PROJECT_SONG]","","PROJECT_SONG - Biosimilars - Total","","000")</f>
        <v>PROJECT_SONG - Biosimilars - Total</v>
      </c>
      <c r="B37" s="53"/>
      <c r="C37" s="53">
        <v>57021091.939999998</v>
      </c>
      <c r="D37" s="53"/>
      <c r="E37" s="53">
        <v>37568528.130000003</v>
      </c>
      <c r="F37" s="53">
        <v>9741344.4800000004</v>
      </c>
      <c r="G37" s="53">
        <v>34719867.990000002</v>
      </c>
      <c r="H37" s="53"/>
      <c r="I37" s="58"/>
      <c r="J37" s="53"/>
      <c r="K37" s="31">
        <v>139050832.53999999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>
        <v>139050832.53999999</v>
      </c>
    </row>
    <row r="38" spans="1:23" x14ac:dyDescent="0.35">
      <c r="A38" s="43" t="str">
        <f xml:space="preserve"> _xll.EPMOlapMemberO("[PRODUCT].[PARENTH1].[XFY]","","XFY - Nasonex","","000")</f>
        <v>XFY - Nasonex</v>
      </c>
      <c r="B38" s="53"/>
      <c r="C38" s="53">
        <v>-176115.44</v>
      </c>
      <c r="D38" s="53">
        <v>20811847.710000001</v>
      </c>
      <c r="E38" s="53">
        <v>13668592.43</v>
      </c>
      <c r="F38" s="53">
        <v>3932715.81</v>
      </c>
      <c r="G38" s="53">
        <v>7698286.0599999996</v>
      </c>
      <c r="H38" s="53"/>
      <c r="I38" s="58">
        <v>222514</v>
      </c>
      <c r="J38" s="53"/>
      <c r="K38" s="31">
        <v>46157840.57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>
        <v>46157840.57</v>
      </c>
    </row>
    <row r="39" spans="1:23" x14ac:dyDescent="0.35">
      <c r="A39" s="43" t="str">
        <f xml:space="preserve"> _xll.EPMOlapMemberO("[PRODUCT].[PARENTH1].[MFU]","","MFU - Mometasone Furoate Monohydrate Bulk","","000")</f>
        <v>MFU - Mometasone Furoate Monohydrate Bulk</v>
      </c>
      <c r="B39" s="53"/>
      <c r="C39" s="53"/>
      <c r="D39" s="53"/>
      <c r="E39" s="53">
        <v>186908.87</v>
      </c>
      <c r="F39" s="53">
        <v>1136617.73</v>
      </c>
      <c r="G39" s="53">
        <v>845844.85</v>
      </c>
      <c r="H39" s="53"/>
      <c r="I39" s="58"/>
      <c r="J39" s="53"/>
      <c r="K39" s="31">
        <v>2169371.4500000002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>
        <v>2169371.4500000002</v>
      </c>
    </row>
    <row r="40" spans="1:23" x14ac:dyDescent="0.35">
      <c r="A40" s="44" t="str">
        <f xml:space="preserve"> _xll.EPMOlapMemberO("[PRODUCT].[PARENTH1].[NASONEX]","","NASONEX - Nasonex Products","","000")</f>
        <v>NASONEX - Nasonex Products</v>
      </c>
      <c r="B40" s="53"/>
      <c r="C40" s="53">
        <v>-176115.44</v>
      </c>
      <c r="D40" s="53">
        <v>20811847.710000001</v>
      </c>
      <c r="E40" s="53">
        <v>13855501.300000001</v>
      </c>
      <c r="F40" s="53">
        <v>5069333.54</v>
      </c>
      <c r="G40" s="53">
        <v>8544130.9100000001</v>
      </c>
      <c r="H40" s="53"/>
      <c r="I40" s="58">
        <v>222514</v>
      </c>
      <c r="J40" s="53"/>
      <c r="K40" s="31">
        <v>48327212.020000003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>
        <v>48327212.020000003</v>
      </c>
    </row>
    <row r="41" spans="1:23" x14ac:dyDescent="0.35">
      <c r="A41" s="44" t="str">
        <f xml:space="preserve"> _xll.EPMOlapMemberO("[PRODUCT].[PARENTH1].[GRC]","","GRC - Nasonex AG","","000")</f>
        <v>GRC - Nasonex AG</v>
      </c>
      <c r="B41" s="53"/>
      <c r="C41" s="53"/>
      <c r="D41" s="53"/>
      <c r="E41" s="53"/>
      <c r="F41" s="53">
        <v>510534.43</v>
      </c>
      <c r="G41" s="53"/>
      <c r="H41" s="53"/>
      <c r="I41" s="58"/>
      <c r="J41" s="53"/>
      <c r="K41" s="31">
        <v>510534.43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>
        <v>510534.43</v>
      </c>
    </row>
    <row r="42" spans="1:23" x14ac:dyDescent="0.35">
      <c r="A42" s="43" t="str">
        <f xml:space="preserve"> _xll.EPMOlapMemberO("[PRODUCT].[PARENTH1].[SNG]","","SNG - Singulair","","000")</f>
        <v>SNG - Singulair</v>
      </c>
      <c r="B42" s="53"/>
      <c r="C42" s="53">
        <v>2446750.2400000002</v>
      </c>
      <c r="D42" s="53">
        <v>39090966.829999998</v>
      </c>
      <c r="E42" s="53">
        <v>6114927.1799999997</v>
      </c>
      <c r="F42" s="53">
        <v>17718520.949999999</v>
      </c>
      <c r="G42" s="53">
        <v>14092188.65</v>
      </c>
      <c r="H42" s="53"/>
      <c r="I42" s="58"/>
      <c r="J42" s="53"/>
      <c r="K42" s="31">
        <v>79463353.849999994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>
        <v>79463353.849999994</v>
      </c>
    </row>
    <row r="43" spans="1:23" x14ac:dyDescent="0.35">
      <c r="A43" s="43" t="str">
        <f xml:space="preserve"> _xll.EPMOlapMemberO("[PRODUCT].[PARENTH1].[MON]","","MON - Montelukast Bulk","","000")</f>
        <v>MON - Montelukast Bulk</v>
      </c>
      <c r="B43" s="53"/>
      <c r="C43" s="53"/>
      <c r="D43" s="53">
        <v>0</v>
      </c>
      <c r="E43" s="53">
        <v>1550211.72</v>
      </c>
      <c r="F43" s="53">
        <v>19719032.510000002</v>
      </c>
      <c r="G43" s="53">
        <v>178869.86</v>
      </c>
      <c r="H43" s="53"/>
      <c r="I43" s="58"/>
      <c r="J43" s="53"/>
      <c r="K43" s="31">
        <v>21448114.09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>
        <v>21448114.09</v>
      </c>
    </row>
    <row r="44" spans="1:23" x14ac:dyDescent="0.35">
      <c r="A44" s="44" t="str">
        <f xml:space="preserve"> _xll.EPMOlapMemberO("[PRODUCT].[PARENTH1].[SINGULAIRPROD]","","SINGULAIRPROD - Singulair Products","","000")</f>
        <v>SINGULAIRPROD - Singulair Products</v>
      </c>
      <c r="B44" s="53"/>
      <c r="C44" s="53">
        <v>2446750.2400000002</v>
      </c>
      <c r="D44" s="53">
        <v>39090966.829999998</v>
      </c>
      <c r="E44" s="53">
        <v>7665138.9000000004</v>
      </c>
      <c r="F44" s="53">
        <v>37437553.460000001</v>
      </c>
      <c r="G44" s="53">
        <v>14271058.51</v>
      </c>
      <c r="H44" s="53"/>
      <c r="I44" s="58"/>
      <c r="J44" s="53"/>
      <c r="K44" s="31">
        <v>100911467.94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>
        <v>100911467.94</v>
      </c>
    </row>
    <row r="45" spans="1:23" x14ac:dyDescent="0.35">
      <c r="A45" s="44" t="str">
        <f xml:space="preserve"> _xll.EPMOlapMemberO("[PRODUCT].[PARENTH1].[XFV]","","XFV - Dulera","","000")</f>
        <v>XFV - Dulera</v>
      </c>
      <c r="B45" s="53"/>
      <c r="C45" s="53">
        <v>47818196.359999999</v>
      </c>
      <c r="D45" s="53"/>
      <c r="E45" s="53">
        <v>380056.34</v>
      </c>
      <c r="F45" s="53"/>
      <c r="G45" s="53">
        <v>7379561.4000000004</v>
      </c>
      <c r="H45" s="53"/>
      <c r="I45" s="58"/>
      <c r="J45" s="53"/>
      <c r="K45" s="31">
        <v>55577814.100000001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>
        <v>55577814.100000001</v>
      </c>
    </row>
    <row r="46" spans="1:23" x14ac:dyDescent="0.35">
      <c r="A46" s="44" t="str">
        <f xml:space="preserve"> _xll.EPMOlapMemberO("[PRODUCT].[PARENTH1].[DAG]","","DAG - Dulera AG","","000")</f>
        <v>DAG - Dulera AG</v>
      </c>
      <c r="B46" s="53"/>
      <c r="C46" s="53"/>
      <c r="D46" s="53"/>
      <c r="E46" s="53"/>
      <c r="F46" s="53"/>
      <c r="G46" s="53"/>
      <c r="H46" s="53"/>
      <c r="I46" s="58"/>
      <c r="J46" s="53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35">
      <c r="A47" s="44" t="str">
        <f xml:space="preserve"> _xll.EPMOlapMemberO("[PRODUCT].[PARENTH1].[XAF]","","XAF - Asmanex","","000")</f>
        <v>XAF - Asmanex</v>
      </c>
      <c r="B47" s="53"/>
      <c r="C47" s="53">
        <v>13806928.710000001</v>
      </c>
      <c r="D47" s="53"/>
      <c r="E47" s="53">
        <v>-27175</v>
      </c>
      <c r="F47" s="53">
        <v>495507.25</v>
      </c>
      <c r="G47" s="53">
        <v>1081447.6599999999</v>
      </c>
      <c r="H47" s="53"/>
      <c r="I47" s="58"/>
      <c r="J47" s="53"/>
      <c r="K47" s="31">
        <v>15356708.619999999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>
        <v>15356708.619999999</v>
      </c>
    </row>
    <row r="48" spans="1:23" x14ac:dyDescent="0.35">
      <c r="A48" s="43" t="str">
        <f xml:space="preserve"> _xll.EPMOlapMemberO("[PRODUCT].[PARENTH1].[XCY]","","XCY - Clarinex Tablets","","000")</f>
        <v>XCY - Clarinex Tablets</v>
      </c>
      <c r="B48" s="53"/>
      <c r="C48" s="53">
        <v>1559048.38</v>
      </c>
      <c r="D48" s="53">
        <v>62149.23</v>
      </c>
      <c r="E48" s="53">
        <v>4610946.6900000004</v>
      </c>
      <c r="F48" s="53">
        <v>8462068.8000000007</v>
      </c>
      <c r="G48" s="53">
        <v>8627112.6999999993</v>
      </c>
      <c r="H48" s="53"/>
      <c r="I48" s="58"/>
      <c r="J48" s="53"/>
      <c r="K48" s="31">
        <v>23321325.800000001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>
        <v>23321325.800000001</v>
      </c>
    </row>
    <row r="49" spans="1:23" x14ac:dyDescent="0.35">
      <c r="A49" s="43" t="str">
        <f xml:space="preserve"> _xll.EPMOlapMemberO("[PRODUCT].[PARENTH1].[XCO]","","XCO - Clarinex Syrup","","000")</f>
        <v>XCO - Clarinex Syrup</v>
      </c>
      <c r="B49" s="53"/>
      <c r="C49" s="53"/>
      <c r="D49" s="53"/>
      <c r="E49" s="53">
        <v>1826781.28</v>
      </c>
      <c r="F49" s="53">
        <v>916628.85</v>
      </c>
      <c r="G49" s="53">
        <v>2078304.1</v>
      </c>
      <c r="H49" s="53"/>
      <c r="I49" s="58"/>
      <c r="J49" s="53"/>
      <c r="K49" s="31">
        <v>4821714.2300000004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>
        <v>4821714.2300000004</v>
      </c>
    </row>
    <row r="50" spans="1:23" x14ac:dyDescent="0.35">
      <c r="A50" s="43" t="str">
        <f xml:space="preserve"> _xll.EPMOlapMemberO("[PRODUCT].[PARENTH1].[XCU]","","XCU - Claritin Syrup","","000")</f>
        <v>XCU - Claritin Syrup</v>
      </c>
      <c r="B50" s="53"/>
      <c r="C50" s="53"/>
      <c r="D50" s="53"/>
      <c r="E50" s="53"/>
      <c r="F50" s="53"/>
      <c r="G50" s="53">
        <v>45109.65</v>
      </c>
      <c r="H50" s="53"/>
      <c r="I50" s="58"/>
      <c r="J50" s="53"/>
      <c r="K50" s="31">
        <v>45109.65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>
        <v>45109.65</v>
      </c>
    </row>
    <row r="51" spans="1:23" x14ac:dyDescent="0.35">
      <c r="A51" s="43" t="str">
        <f xml:space="preserve"> _xll.EPMOlapMemberO("[PRODUCT].[PARENTH1].[XCX]","","XCX - Claritin Tablets ex-D","","000")</f>
        <v>XCX - Claritin Tablets ex-D</v>
      </c>
      <c r="B51" s="53"/>
      <c r="C51" s="53"/>
      <c r="D51" s="53"/>
      <c r="E51" s="53">
        <v>0</v>
      </c>
      <c r="F51" s="53">
        <v>0</v>
      </c>
      <c r="G51" s="53"/>
      <c r="H51" s="53"/>
      <c r="I51" s="58"/>
      <c r="J51" s="53"/>
      <c r="K51" s="31">
        <v>0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>
        <v>0</v>
      </c>
    </row>
    <row r="52" spans="1:23" x14ac:dyDescent="0.35">
      <c r="A52" s="43" t="str">
        <f xml:space="preserve"> _xll.EPMOlapMemberO("[PRODUCT].[PARENTH1].[XCG]","","XCG - Claritin D","","000")</f>
        <v>XCG - Claritin D</v>
      </c>
      <c r="B52" s="53"/>
      <c r="C52" s="53"/>
      <c r="D52" s="53"/>
      <c r="E52" s="53"/>
      <c r="F52" s="53">
        <v>-68634.44</v>
      </c>
      <c r="G52" s="53"/>
      <c r="H52" s="53"/>
      <c r="I52" s="58"/>
      <c r="J52" s="53"/>
      <c r="K52" s="31">
        <v>-68634.44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>
        <v>-68634.44</v>
      </c>
    </row>
    <row r="53" spans="1:23" x14ac:dyDescent="0.35">
      <c r="A53" s="44" t="str">
        <f xml:space="preserve"> _xll.EPMOlapMemberO("[PRODUCT].[PARENTH1].[CLARINEX_AERIUS]","","CLARINEX_AERIUS - Clarinex_Aerius","","000")</f>
        <v>CLARINEX_AERIUS - Clarinex_Aerius</v>
      </c>
      <c r="B53" s="53"/>
      <c r="C53" s="53">
        <v>1559048.38</v>
      </c>
      <c r="D53" s="53">
        <v>62149.23</v>
      </c>
      <c r="E53" s="53">
        <v>6437727.9699999997</v>
      </c>
      <c r="F53" s="53">
        <v>9310063.2100000009</v>
      </c>
      <c r="G53" s="53">
        <v>10750526.449999999</v>
      </c>
      <c r="H53" s="53"/>
      <c r="I53" s="58"/>
      <c r="J53" s="53"/>
      <c r="K53" s="31">
        <v>28119515.239999998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>
        <v>28119515.239999998</v>
      </c>
    </row>
    <row r="54" spans="1:23" x14ac:dyDescent="0.35">
      <c r="A54" s="44" t="str">
        <f xml:space="preserve"> _xll.EPMOlapMemberO("[PRODUCT].[PARENTH1].[LMC]","","LMC - Montaclar","","000")</f>
        <v>LMC - Montaclar</v>
      </c>
      <c r="B54" s="53"/>
      <c r="C54" s="53"/>
      <c r="D54" s="53"/>
      <c r="E54" s="53">
        <v>610912.72</v>
      </c>
      <c r="F54" s="53"/>
      <c r="G54" s="53"/>
      <c r="H54" s="53"/>
      <c r="I54" s="58"/>
      <c r="J54" s="53"/>
      <c r="K54" s="31">
        <v>610912.72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>
        <v>610912.72</v>
      </c>
    </row>
    <row r="55" spans="1:23" x14ac:dyDescent="0.35">
      <c r="A55" s="44" t="str">
        <f xml:space="preserve"> _xll.EPMOlapMemberO("[PRODUCT].[PARENTH1].[XAC]","","XAC - Celestone Other","","000")</f>
        <v>XAC - Celestone Other</v>
      </c>
      <c r="B55" s="53"/>
      <c r="C55" s="53"/>
      <c r="D55" s="53"/>
      <c r="E55" s="53">
        <v>1631019.71</v>
      </c>
      <c r="F55" s="53">
        <v>7820.72</v>
      </c>
      <c r="G55" s="53">
        <v>409009.53</v>
      </c>
      <c r="H55" s="53"/>
      <c r="I55" s="58"/>
      <c r="J55" s="53"/>
      <c r="K55" s="31">
        <v>2047849.96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>
        <v>2047849.96</v>
      </c>
    </row>
    <row r="56" spans="1:23" x14ac:dyDescent="0.35">
      <c r="A56" s="49" t="str">
        <f xml:space="preserve"> _xll.EPMOlapMemberO("[PRODUCT].[PARENTH1].[LEGACY_RESP]","","LEGACY_RESP - Established Respiratory","","000")</f>
        <v>LEGACY_RESP - Established Respiratory</v>
      </c>
      <c r="B56" s="53"/>
      <c r="C56" s="53">
        <v>65454808.25</v>
      </c>
      <c r="D56" s="53">
        <v>59964963.770000003</v>
      </c>
      <c r="E56" s="53">
        <v>30553181.940000001</v>
      </c>
      <c r="F56" s="53">
        <v>52830812.609999999</v>
      </c>
      <c r="G56" s="53">
        <v>42435734.460000001</v>
      </c>
      <c r="H56" s="53"/>
      <c r="I56" s="58">
        <v>222514</v>
      </c>
      <c r="J56" s="53"/>
      <c r="K56" s="31">
        <v>251462015.03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>
        <v>251462015.03</v>
      </c>
    </row>
    <row r="57" spans="1:23" x14ac:dyDescent="0.35">
      <c r="A57" s="47" t="str">
        <f xml:space="preserve"> _xll.EPMOlapMemberO("[PRODUCT].[PARENTH1].[CXB]","","CXB - Arcoxia","","000")</f>
        <v>CXB - Arcoxia</v>
      </c>
      <c r="B57" s="53"/>
      <c r="C57" s="53"/>
      <c r="D57" s="53">
        <v>11745258.68</v>
      </c>
      <c r="E57" s="53">
        <v>22979890.399999999</v>
      </c>
      <c r="F57" s="53">
        <v>14176095.310000001</v>
      </c>
      <c r="G57" s="53">
        <v>9433652.3800000008</v>
      </c>
      <c r="H57" s="53"/>
      <c r="I57" s="58"/>
      <c r="J57" s="53"/>
      <c r="K57" s="31">
        <v>58334896.770000003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>
        <v>58334896.770000003</v>
      </c>
    </row>
    <row r="58" spans="1:23" x14ac:dyDescent="0.35">
      <c r="A58" s="47" t="str">
        <f xml:space="preserve"> _xll.EPMOlapMemberO("[PRODUCT].[PARENTH1].[ETB]","","ETB - Etoricoxib Bulk","","000")</f>
        <v>ETB - Etoricoxib Bulk</v>
      </c>
      <c r="B58" s="53"/>
      <c r="C58" s="53"/>
      <c r="D58" s="53"/>
      <c r="E58" s="53">
        <v>0</v>
      </c>
      <c r="F58" s="53">
        <v>-23415.24</v>
      </c>
      <c r="G58" s="53">
        <v>6804546.5</v>
      </c>
      <c r="H58" s="53"/>
      <c r="I58" s="58"/>
      <c r="J58" s="53"/>
      <c r="K58" s="31">
        <v>6781131.2599999998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>
        <v>6781131.2599999998</v>
      </c>
    </row>
    <row r="59" spans="1:23" x14ac:dyDescent="0.35">
      <c r="A59" s="43" t="str">
        <f xml:space="preserve"> _xll.EPMOlapMemberO("[PRODUCT].[PARENTH1].[ARCOXIA]","","ARCOXIA - Arcoxia Products","","000")</f>
        <v>ARCOXIA - Arcoxia Products</v>
      </c>
      <c r="B59" s="53"/>
      <c r="C59" s="53"/>
      <c r="D59" s="53">
        <v>11745258.68</v>
      </c>
      <c r="E59" s="53">
        <v>22979890.399999999</v>
      </c>
      <c r="F59" s="53">
        <v>14152680.07</v>
      </c>
      <c r="G59" s="53">
        <v>16238198.880000001</v>
      </c>
      <c r="H59" s="53"/>
      <c r="I59" s="58"/>
      <c r="J59" s="53"/>
      <c r="K59" s="31">
        <v>65116028.030000001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>
        <v>65116028.030000001</v>
      </c>
    </row>
    <row r="60" spans="1:23" x14ac:dyDescent="0.35">
      <c r="A60" s="47" t="str">
        <f xml:space="preserve"> _xll.EPMOlapMemberO("[PRODUCT].[PARENTH1].[XDP]","","XDP - Diprospan","","000")</f>
        <v>XDP - Diprospan</v>
      </c>
      <c r="B60" s="53"/>
      <c r="C60" s="53"/>
      <c r="D60" s="53">
        <v>7949726.6799999997</v>
      </c>
      <c r="E60" s="53">
        <v>19789077.739999998</v>
      </c>
      <c r="F60" s="53">
        <v>865150.45</v>
      </c>
      <c r="G60" s="53">
        <v>5624239.2400000002</v>
      </c>
      <c r="H60" s="53"/>
      <c r="I60" s="58"/>
      <c r="J60" s="53"/>
      <c r="K60" s="31">
        <v>34228194.109999999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>
        <v>34228194.109999999</v>
      </c>
    </row>
    <row r="61" spans="1:23" x14ac:dyDescent="0.35">
      <c r="A61" s="47" t="str">
        <f xml:space="preserve"> _xll.EPMOlapMemberO("[PRODUCT].[PARENTH1].[XTE]","","XTE - Celestone","","000")</f>
        <v>XTE - Celestone</v>
      </c>
      <c r="B61" s="53"/>
      <c r="C61" s="53">
        <v>3795453.31</v>
      </c>
      <c r="D61" s="53"/>
      <c r="E61" s="53">
        <v>3892034.8</v>
      </c>
      <c r="F61" s="53">
        <v>881470.01</v>
      </c>
      <c r="G61" s="53">
        <v>2528114.4700000002</v>
      </c>
      <c r="H61" s="53"/>
      <c r="I61" s="58"/>
      <c r="J61" s="53"/>
      <c r="K61" s="31">
        <v>11097072.59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11097072.59</v>
      </c>
    </row>
    <row r="62" spans="1:23" x14ac:dyDescent="0.35">
      <c r="A62" s="47" t="str">
        <f xml:space="preserve"> _xll.EPMOlapMemberO("[PRODUCT].[PARENTH1].[CLS]","","CLS - Celestone AG","","000")</f>
        <v>CLS - Celestone AG</v>
      </c>
      <c r="B62" s="53"/>
      <c r="C62" s="53">
        <v>5648184.1299999999</v>
      </c>
      <c r="D62" s="53"/>
      <c r="E62" s="53"/>
      <c r="F62" s="53"/>
      <c r="G62" s="53"/>
      <c r="H62" s="53"/>
      <c r="I62" s="58"/>
      <c r="J62" s="53"/>
      <c r="K62" s="31">
        <v>5648184.1299999999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5648184.1299999999</v>
      </c>
    </row>
    <row r="63" spans="1:23" x14ac:dyDescent="0.35">
      <c r="A63" s="47" t="str">
        <f xml:space="preserve"> _xll.EPMOlapMemberO("[PRODUCT].[PARENTH1].[BTS]","","BTS - Betamethasone","","000")</f>
        <v>BTS - Betamethasone</v>
      </c>
      <c r="B63" s="53"/>
      <c r="C63" s="53">
        <v>41819.5</v>
      </c>
      <c r="D63" s="53"/>
      <c r="E63" s="53">
        <v>340215.33</v>
      </c>
      <c r="F63" s="53"/>
      <c r="G63" s="53">
        <v>-710562.83</v>
      </c>
      <c r="H63" s="53"/>
      <c r="I63" s="58"/>
      <c r="J63" s="53"/>
      <c r="K63" s="31">
        <v>-328528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>
        <v>-328528</v>
      </c>
    </row>
    <row r="64" spans="1:23" x14ac:dyDescent="0.35">
      <c r="A64" s="47" t="str">
        <f xml:space="preserve"> _xll.EPMOlapMemberO("[PRODUCT].[PARENTH1].[XWB]","","XWB - Meticorten","","000")</f>
        <v>XWB - Meticorten</v>
      </c>
      <c r="B64" s="53"/>
      <c r="C64" s="53"/>
      <c r="D64" s="53"/>
      <c r="E64" s="53">
        <v>185985.55</v>
      </c>
      <c r="F64" s="53"/>
      <c r="G64" s="53"/>
      <c r="H64" s="53"/>
      <c r="I64" s="58"/>
      <c r="J64" s="53"/>
      <c r="K64" s="31">
        <v>185985.55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>
        <v>185985.55</v>
      </c>
    </row>
    <row r="65" spans="1:23" x14ac:dyDescent="0.35">
      <c r="A65" s="43" t="str">
        <f xml:space="preserve"> _xll.EPMOlapMemberO("[PRODUCT].[PARENTH1].[INJECTABLE_STED]","","INJECTABLE_STED - Injectable Steroids","","000")</f>
        <v>INJECTABLE_STED - Injectable Steroids</v>
      </c>
      <c r="B65" s="53"/>
      <c r="C65" s="53">
        <v>9485456.9399999995</v>
      </c>
      <c r="D65" s="53">
        <v>7949726.6799999997</v>
      </c>
      <c r="E65" s="53">
        <v>24207313.420000002</v>
      </c>
      <c r="F65" s="53">
        <v>1746620.46</v>
      </c>
      <c r="G65" s="53">
        <v>7441790.8799999999</v>
      </c>
      <c r="H65" s="53"/>
      <c r="I65" s="58"/>
      <c r="J65" s="53"/>
      <c r="K65" s="31">
        <v>50830908.380000003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>
        <v>50830908.380000003</v>
      </c>
    </row>
    <row r="66" spans="1:23" x14ac:dyDescent="0.35">
      <c r="A66" s="44" t="str">
        <f xml:space="preserve"> _xll.EPMOlapMemberO("[PRODUCT].[PARENTH1].[INJECTABLES]","","INJECTABLES - Established Pain","","000")</f>
        <v>INJECTABLES - Established Pain</v>
      </c>
      <c r="B66" s="53"/>
      <c r="C66" s="53">
        <v>9485456.9399999995</v>
      </c>
      <c r="D66" s="53">
        <v>19694985.359999999</v>
      </c>
      <c r="E66" s="53">
        <v>47187203.82</v>
      </c>
      <c r="F66" s="53">
        <v>15899300.529999999</v>
      </c>
      <c r="G66" s="53">
        <v>23679989.760000002</v>
      </c>
      <c r="H66" s="53"/>
      <c r="I66" s="58"/>
      <c r="J66" s="53"/>
      <c r="K66" s="31">
        <v>115946936.41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>
        <v>115946936.41</v>
      </c>
    </row>
    <row r="67" spans="1:23" x14ac:dyDescent="0.35">
      <c r="A67" s="52" t="str">
        <f xml:space="preserve"> _xll.EPMOlapMemberO("[PRODUCT].[PARENTH1].[FSD]","","FSD - Fosamax Plus","","000")</f>
        <v>FSD - Fosamax Plus</v>
      </c>
      <c r="B67" s="53"/>
      <c r="C67" s="53">
        <v>544750.42000000004</v>
      </c>
      <c r="D67" s="53">
        <v>8291652.5800000001</v>
      </c>
      <c r="E67" s="53">
        <v>3214707.21</v>
      </c>
      <c r="F67" s="53">
        <v>5255412.78</v>
      </c>
      <c r="G67" s="53">
        <v>4390010.17</v>
      </c>
      <c r="H67" s="53"/>
      <c r="I67" s="58"/>
      <c r="J67" s="53"/>
      <c r="K67" s="31">
        <v>21696533.16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>
        <v>21696533.16</v>
      </c>
    </row>
    <row r="68" spans="1:23" x14ac:dyDescent="0.35">
      <c r="A68" s="52" t="str">
        <f xml:space="preserve"> _xll.EPMOlapMemberO("[PRODUCT].[PARENTH1].[FSB]","","FSB - Alendronate Plus Vitamin D Bulk","","000")</f>
        <v>FSB - Alendronate Plus Vitamin D Bulk</v>
      </c>
      <c r="B68" s="53"/>
      <c r="C68" s="53"/>
      <c r="D68" s="53"/>
      <c r="E68" s="53">
        <v>23.53</v>
      </c>
      <c r="F68" s="53">
        <v>995211.27</v>
      </c>
      <c r="G68" s="53">
        <v>3190955.18</v>
      </c>
      <c r="H68" s="53"/>
      <c r="I68" s="58"/>
      <c r="J68" s="53"/>
      <c r="K68" s="31">
        <v>4186189.98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4186189.98</v>
      </c>
    </row>
    <row r="69" spans="1:23" x14ac:dyDescent="0.35">
      <c r="A69" s="47" t="str">
        <f xml:space="preserve"> _xll.EPMOlapMemberO("[PRODUCT].[PARENTH1].[FOSOMAXPLUS]","","FOSOMAXPLUS - Fosamax Plus Products","","000")</f>
        <v>FOSOMAXPLUS - Fosamax Plus Products</v>
      </c>
      <c r="B69" s="53"/>
      <c r="C69" s="53">
        <v>544750.42000000004</v>
      </c>
      <c r="D69" s="53">
        <v>8291652.5800000001</v>
      </c>
      <c r="E69" s="53">
        <v>3214730.74</v>
      </c>
      <c r="F69" s="53">
        <v>6250624.0499999998</v>
      </c>
      <c r="G69" s="53">
        <v>7580965.3499999996</v>
      </c>
      <c r="H69" s="53"/>
      <c r="I69" s="58"/>
      <c r="J69" s="53"/>
      <c r="K69" s="31">
        <v>25882723.140000001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25882723.140000001</v>
      </c>
    </row>
    <row r="70" spans="1:23" x14ac:dyDescent="0.35">
      <c r="A70" s="52" t="str">
        <f xml:space="preserve"> _xll.EPMOlapMemberO("[PRODUCT].[PARENTH1].[FOS]","","FOS - Fosamax Daily","","000")</f>
        <v>FOS - Fosamax Daily</v>
      </c>
      <c r="B70" s="53"/>
      <c r="C70" s="53">
        <v>-9857.06</v>
      </c>
      <c r="D70" s="53"/>
      <c r="E70" s="53">
        <v>-105335.15</v>
      </c>
      <c r="F70" s="53">
        <v>-560.66</v>
      </c>
      <c r="G70" s="53">
        <v>-133422.32999999999</v>
      </c>
      <c r="H70" s="53"/>
      <c r="I70" s="58"/>
      <c r="J70" s="53"/>
      <c r="K70" s="31">
        <v>-249175.2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>
        <v>-249175.2</v>
      </c>
    </row>
    <row r="71" spans="1:23" x14ac:dyDescent="0.35">
      <c r="A71" s="52" t="str">
        <f xml:space="preserve"> _xll.EPMOlapMemberO("[PRODUCT].[PARENTH1].[FOW]","","FOW - Fosamax Once Weekly","","000")</f>
        <v>FOW - Fosamax Once Weekly</v>
      </c>
      <c r="B71" s="53"/>
      <c r="C71" s="53">
        <v>380423.31</v>
      </c>
      <c r="D71" s="53">
        <v>11097209.130000001</v>
      </c>
      <c r="E71" s="53">
        <v>1806123.49</v>
      </c>
      <c r="F71" s="53">
        <v>2680591.5499999998</v>
      </c>
      <c r="G71" s="53">
        <v>2413014.52</v>
      </c>
      <c r="H71" s="53"/>
      <c r="I71" s="58"/>
      <c r="J71" s="53"/>
      <c r="K71" s="31">
        <v>18377362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>
        <v>18377362</v>
      </c>
    </row>
    <row r="72" spans="1:23" x14ac:dyDescent="0.35">
      <c r="A72" s="52" t="str">
        <f xml:space="preserve"> _xll.EPMOlapMemberO("[PRODUCT].[PARENTH1].[ALE]","","ALE - Alendronate Bulk","","000")</f>
        <v>ALE - Alendronate Bulk</v>
      </c>
      <c r="B72" s="53"/>
      <c r="C72" s="53"/>
      <c r="D72" s="53"/>
      <c r="E72" s="53"/>
      <c r="F72" s="53">
        <v>1960191.77</v>
      </c>
      <c r="G72" s="53">
        <v>0</v>
      </c>
      <c r="H72" s="53"/>
      <c r="I72" s="58"/>
      <c r="J72" s="53"/>
      <c r="K72" s="31">
        <v>1960191.77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>
        <v>1960191.77</v>
      </c>
    </row>
    <row r="73" spans="1:23" x14ac:dyDescent="0.35">
      <c r="A73" s="47" t="str">
        <f xml:space="preserve"> _xll.EPMOlapMemberO("[PRODUCT].[PARENTH1].[FOSOMAX_DW]","","FOSOMAX_DW - Fosamax Daily Weekly","","000")</f>
        <v>FOSOMAX_DW - Fosamax Daily Weekly</v>
      </c>
      <c r="B73" s="53"/>
      <c r="C73" s="53">
        <v>370566.25</v>
      </c>
      <c r="D73" s="53">
        <v>11097209.130000001</v>
      </c>
      <c r="E73" s="53">
        <v>1700788.34</v>
      </c>
      <c r="F73" s="53">
        <v>4640222.66</v>
      </c>
      <c r="G73" s="53">
        <v>2279592.19</v>
      </c>
      <c r="H73" s="53"/>
      <c r="I73" s="58"/>
      <c r="J73" s="53"/>
      <c r="K73" s="31">
        <v>20088378.57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>
        <v>20088378.57</v>
      </c>
    </row>
    <row r="74" spans="1:23" x14ac:dyDescent="0.35">
      <c r="A74" s="43" t="str">
        <f xml:space="preserve"> _xll.EPMOlapMemberO("[PRODUCT].[PARENTH1].[FOSOMAXPROD]","","FOSOMAXPROD - Fosamax Products","","000")</f>
        <v>FOSOMAXPROD - Fosamax Products</v>
      </c>
      <c r="B74" s="53"/>
      <c r="C74" s="53">
        <v>915316.67</v>
      </c>
      <c r="D74" s="53">
        <v>19388861.710000001</v>
      </c>
      <c r="E74" s="53">
        <v>4915519.08</v>
      </c>
      <c r="F74" s="53">
        <v>10890846.710000001</v>
      </c>
      <c r="G74" s="53">
        <v>9860557.5399999991</v>
      </c>
      <c r="H74" s="53"/>
      <c r="I74" s="58"/>
      <c r="J74" s="53"/>
      <c r="K74" s="31">
        <v>45971101.710000001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>
        <v>45971101.710000001</v>
      </c>
    </row>
    <row r="75" spans="1:23" x14ac:dyDescent="0.35">
      <c r="A75" s="44" t="str">
        <f xml:space="preserve"> _xll.EPMOlapMemberO("[PRODUCT].[PARENTH1].[BONE]","","BONE - Bone","","000")</f>
        <v>BONE - Bone</v>
      </c>
      <c r="B75" s="53"/>
      <c r="C75" s="53">
        <v>915316.67</v>
      </c>
      <c r="D75" s="53">
        <v>19388861.710000001</v>
      </c>
      <c r="E75" s="53">
        <v>4915519.08</v>
      </c>
      <c r="F75" s="53">
        <v>10890846.710000001</v>
      </c>
      <c r="G75" s="53">
        <v>9860557.5399999991</v>
      </c>
      <c r="H75" s="53"/>
      <c r="I75" s="58"/>
      <c r="J75" s="53"/>
      <c r="K75" s="31">
        <v>45971101.710000001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>
        <v>45971101.710000001</v>
      </c>
    </row>
    <row r="76" spans="1:23" x14ac:dyDescent="0.35">
      <c r="A76" s="43" t="str">
        <f xml:space="preserve"> _xll.EPMOlapMemberO("[PRODUCT].[PARENTH1].[XKA]","","XKA - Lotrisone","","000")</f>
        <v>XKA - Lotrisone</v>
      </c>
      <c r="B76" s="53"/>
      <c r="C76" s="53"/>
      <c r="D76" s="53"/>
      <c r="E76" s="53">
        <v>58096.15</v>
      </c>
      <c r="F76" s="53"/>
      <c r="G76" s="53">
        <v>3054066.44</v>
      </c>
      <c r="H76" s="53"/>
      <c r="I76" s="58"/>
      <c r="J76" s="53"/>
      <c r="K76" s="31">
        <v>3112162.59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>
        <v>3112162.59</v>
      </c>
    </row>
    <row r="77" spans="1:23" x14ac:dyDescent="0.35">
      <c r="A77" s="43" t="str">
        <f xml:space="preserve"> _xll.EPMOlapMemberO("[PRODUCT].[PARENTH1].[XCN]","","XCN - Elocon","","000")</f>
        <v>XCN - Elocon</v>
      </c>
      <c r="B77" s="53"/>
      <c r="C77" s="53"/>
      <c r="D77" s="53"/>
      <c r="E77" s="53">
        <v>3479627.91</v>
      </c>
      <c r="F77" s="53">
        <v>4183445.19</v>
      </c>
      <c r="G77" s="53">
        <v>7038832.3099999996</v>
      </c>
      <c r="H77" s="53"/>
      <c r="I77" s="58"/>
      <c r="J77" s="53"/>
      <c r="K77" s="31">
        <v>14701905.41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>
        <v>14701905.41</v>
      </c>
    </row>
    <row r="78" spans="1:23" x14ac:dyDescent="0.35">
      <c r="A78" s="43" t="str">
        <f xml:space="preserve"> _xll.EPMOlapMemberO("[PRODUCT].[PARENTH1].[XDI]","","XDI - Diprosone","","000")</f>
        <v>XDI - Diprosone</v>
      </c>
      <c r="B78" s="53"/>
      <c r="C78" s="53">
        <v>290973.06</v>
      </c>
      <c r="D78" s="53"/>
      <c r="E78" s="53">
        <v>2145230.02</v>
      </c>
      <c r="F78" s="53">
        <v>5657015.8399999999</v>
      </c>
      <c r="G78" s="53">
        <v>13965890.460000001</v>
      </c>
      <c r="H78" s="53"/>
      <c r="I78" s="58"/>
      <c r="J78" s="53"/>
      <c r="K78" s="31">
        <v>22059109.379999999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>
        <v>22059109.379999999</v>
      </c>
    </row>
    <row r="79" spans="1:23" x14ac:dyDescent="0.35">
      <c r="A79" s="43" t="str">
        <f xml:space="preserve"> _xll.EPMOlapMemberO("[PRODUCT].[PARENTH1].[XVL]","","XVL - Valisone","","000")</f>
        <v>XVL - Valisone</v>
      </c>
      <c r="B79" s="53"/>
      <c r="C79" s="53"/>
      <c r="D79" s="53"/>
      <c r="E79" s="53">
        <v>289165.21000000002</v>
      </c>
      <c r="F79" s="53">
        <v>1067338.92</v>
      </c>
      <c r="G79" s="53">
        <v>9536270.5</v>
      </c>
      <c r="H79" s="53"/>
      <c r="I79" s="58"/>
      <c r="J79" s="53"/>
      <c r="K79" s="31">
        <v>10892774.630000001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>
        <v>10892774.630000001</v>
      </c>
    </row>
    <row r="80" spans="1:23" x14ac:dyDescent="0.35">
      <c r="A80" s="43" t="str">
        <f xml:space="preserve"> _xll.EPMOlapMemberO("[PRODUCT].[PARENTH1].[XQU]","","XQU - Quadriderm","","000")</f>
        <v>XQU - Quadriderm</v>
      </c>
      <c r="B80" s="53"/>
      <c r="C80" s="53"/>
      <c r="D80" s="53"/>
      <c r="E80" s="53">
        <v>3992636.87</v>
      </c>
      <c r="F80" s="53">
        <v>1947426.46</v>
      </c>
      <c r="G80" s="53">
        <v>2181821.7000000002</v>
      </c>
      <c r="H80" s="53"/>
      <c r="I80" s="58"/>
      <c r="J80" s="53"/>
      <c r="K80" s="31">
        <v>8121885.0300000003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>
        <v>8121885.0300000003</v>
      </c>
    </row>
    <row r="81" spans="1:23" x14ac:dyDescent="0.35">
      <c r="A81" s="43" t="str">
        <f xml:space="preserve"> _xll.EPMOlapMemberO("[PRODUCT].[PARENTH1].[XGA]","","XGA - Gentalyn","","000")</f>
        <v>XGA - Gentalyn</v>
      </c>
      <c r="B81" s="53"/>
      <c r="C81" s="53"/>
      <c r="D81" s="53"/>
      <c r="E81" s="53">
        <v>0</v>
      </c>
      <c r="F81" s="53"/>
      <c r="G81" s="53">
        <v>2081121.54</v>
      </c>
      <c r="H81" s="53"/>
      <c r="I81" s="58"/>
      <c r="J81" s="53"/>
      <c r="K81" s="31">
        <v>2081121.54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>
        <v>2081121.54</v>
      </c>
    </row>
    <row r="82" spans="1:23" x14ac:dyDescent="0.35">
      <c r="A82" s="43" t="str">
        <f xml:space="preserve"> _xll.EPMOlapMemberO("[PRODUCT].[PARENTH1].[EML]","","EML - Emolene","","000")</f>
        <v>EML - Emolene</v>
      </c>
      <c r="B82" s="53"/>
      <c r="C82" s="53"/>
      <c r="D82" s="53"/>
      <c r="E82" s="53"/>
      <c r="F82" s="53">
        <v>319160.18679369998</v>
      </c>
      <c r="G82" s="53"/>
      <c r="H82" s="53"/>
      <c r="I82" s="58"/>
      <c r="J82" s="53"/>
      <c r="K82" s="31">
        <v>319160.18679369998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>
        <v>319160.18679369998</v>
      </c>
    </row>
    <row r="83" spans="1:23" x14ac:dyDescent="0.35">
      <c r="A83" s="44" t="str">
        <f xml:space="preserve"> _xll.EPMOlapMemberO("[PRODUCT].[PARENTH1].[DERMATOLOGY]","","DERMATOLOGY - Established Dermatology","","000")</f>
        <v>DERMATOLOGY - Established Dermatology</v>
      </c>
      <c r="B83" s="53"/>
      <c r="C83" s="53">
        <v>290973.06</v>
      </c>
      <c r="D83" s="53"/>
      <c r="E83" s="53">
        <v>9964756.1600000001</v>
      </c>
      <c r="F83" s="53">
        <v>13174386.5967937</v>
      </c>
      <c r="G83" s="53">
        <v>37858002.950000003</v>
      </c>
      <c r="H83" s="53"/>
      <c r="I83" s="58"/>
      <c r="J83" s="53"/>
      <c r="K83" s="31">
        <v>61288118.766793698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>
        <v>61288118.766793698</v>
      </c>
    </row>
    <row r="84" spans="1:23" x14ac:dyDescent="0.35">
      <c r="A84" s="49" t="str">
        <f xml:space="preserve"> _xll.EPMOlapMemberO("[PRODUCT].[PARENTH1].[LEGACY_PAIN_BONE_DERM]","","LEGACY_PAIN_BONE_DERM - Established Pain, Bone and Derm","","000")</f>
        <v>LEGACY_PAIN_BONE_DERM - Established Pain, Bone and Derm</v>
      </c>
      <c r="B84" s="53"/>
      <c r="C84" s="53">
        <v>10691746.67</v>
      </c>
      <c r="D84" s="53">
        <v>39083847.07</v>
      </c>
      <c r="E84" s="53">
        <v>62067479.060000002</v>
      </c>
      <c r="F84" s="53">
        <v>39964533.836793698</v>
      </c>
      <c r="G84" s="53">
        <v>71398550.25</v>
      </c>
      <c r="H84" s="53"/>
      <c r="I84" s="58"/>
      <c r="J84" s="53"/>
      <c r="K84" s="31">
        <v>223206156.8867937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>
        <v>223206156.8867937</v>
      </c>
    </row>
    <row r="85" spans="1:23" x14ac:dyDescent="0.35">
      <c r="A85" s="52" t="str">
        <f xml:space="preserve"> _xll.EPMOlapMemberO("[PRODUCT].[PARENTH1].[EZE]","","EZE - Zetia","","000")</f>
        <v>EZE - Zetia</v>
      </c>
      <c r="B85" s="53"/>
      <c r="C85" s="53">
        <v>1449196.28</v>
      </c>
      <c r="D85" s="53">
        <v>45355010.539999999</v>
      </c>
      <c r="E85" s="53">
        <v>5587661.8600000003</v>
      </c>
      <c r="F85" s="53">
        <v>16319668.359999999</v>
      </c>
      <c r="G85" s="53">
        <v>21895911.670000002</v>
      </c>
      <c r="H85" s="53"/>
      <c r="I85" s="58"/>
      <c r="J85" s="53"/>
      <c r="K85" s="31">
        <v>90607448.709999993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>
        <v>90607448.709999993</v>
      </c>
    </row>
    <row r="86" spans="1:23" x14ac:dyDescent="0.35">
      <c r="A86" s="52" t="str">
        <f xml:space="preserve"> _xll.EPMOlapMemberO("[PRODUCT].[PARENTH1].[ESP]","","ESP - Ezetimibe Bulk","","000")</f>
        <v>ESP - Ezetimibe Bulk</v>
      </c>
      <c r="B86" s="53"/>
      <c r="C86" s="53"/>
      <c r="D86" s="53"/>
      <c r="E86" s="53">
        <v>26397.97</v>
      </c>
      <c r="F86" s="53">
        <v>0</v>
      </c>
      <c r="G86" s="53">
        <v>768649.55</v>
      </c>
      <c r="H86" s="53"/>
      <c r="I86" s="58"/>
      <c r="J86" s="53"/>
      <c r="K86" s="31">
        <v>795047.52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>
        <v>795047.52</v>
      </c>
    </row>
    <row r="87" spans="1:23" x14ac:dyDescent="0.35">
      <c r="A87" s="47" t="str">
        <f xml:space="preserve"> _xll.EPMOlapMemberO("[PRODUCT].[PARENTH1].[ZETIA]","","ZETIA - Zetia Products","","000")</f>
        <v>ZETIA - Zetia Products</v>
      </c>
      <c r="B87" s="53"/>
      <c r="C87" s="53">
        <v>1449196.28</v>
      </c>
      <c r="D87" s="53">
        <v>45355010.539999999</v>
      </c>
      <c r="E87" s="53">
        <v>5614059.8300000001</v>
      </c>
      <c r="F87" s="53">
        <v>16319668.359999999</v>
      </c>
      <c r="G87" s="53">
        <v>22664561.219999999</v>
      </c>
      <c r="H87" s="53"/>
      <c r="I87" s="58"/>
      <c r="J87" s="53"/>
      <c r="K87" s="31">
        <v>91402496.230000004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>
        <v>91402496.230000004</v>
      </c>
    </row>
    <row r="88" spans="1:23" x14ac:dyDescent="0.35">
      <c r="A88" s="52" t="str">
        <f xml:space="preserve"> _xll.EPMOlapMemberO("[PRODUCT].[PARENTH1].[EZS]","","EZS - Vytorin","","000")</f>
        <v>EZS - Vytorin</v>
      </c>
      <c r="B88" s="53"/>
      <c r="C88" s="53">
        <v>2585153.23</v>
      </c>
      <c r="D88" s="53">
        <v>443077.41</v>
      </c>
      <c r="E88" s="53">
        <v>11688099.41</v>
      </c>
      <c r="F88" s="53">
        <v>8824033.0600000005</v>
      </c>
      <c r="G88" s="53">
        <v>14791941.119999999</v>
      </c>
      <c r="H88" s="53"/>
      <c r="I88" s="58">
        <v>87834.25</v>
      </c>
      <c r="J88" s="53"/>
      <c r="K88" s="31">
        <v>38420138.479999997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>
        <v>38420138.479999997</v>
      </c>
    </row>
    <row r="89" spans="1:23" x14ac:dyDescent="0.35">
      <c r="A89" s="52" t="str">
        <f xml:space="preserve"> _xll.EPMOlapMemberO("[PRODUCT].[PARENTH1].[ESU]","","ESU - Ezetimibe Simvastatin Bulk","","000")</f>
        <v>ESU - Ezetimibe Simvastatin Bulk</v>
      </c>
      <c r="B89" s="53"/>
      <c r="C89" s="53"/>
      <c r="D89" s="53"/>
      <c r="E89" s="53">
        <v>160841.5</v>
      </c>
      <c r="F89" s="53">
        <v>0</v>
      </c>
      <c r="G89" s="53">
        <v>2459975.71</v>
      </c>
      <c r="H89" s="53"/>
      <c r="I89" s="58"/>
      <c r="J89" s="53"/>
      <c r="K89" s="31">
        <v>2620817.21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>
        <v>2620817.21</v>
      </c>
    </row>
    <row r="90" spans="1:23" x14ac:dyDescent="0.35">
      <c r="A90" s="47" t="str">
        <f xml:space="preserve"> _xll.EPMOlapMemberO("[PRODUCT].[PARENTH1].[VYTORIN]","","VYTORIN - Vytorin Products","","000")</f>
        <v>VYTORIN - Vytorin Products</v>
      </c>
      <c r="B90" s="53"/>
      <c r="C90" s="53">
        <v>2585153.23</v>
      </c>
      <c r="D90" s="53">
        <v>443077.41</v>
      </c>
      <c r="E90" s="53">
        <v>11848940.91</v>
      </c>
      <c r="F90" s="53">
        <v>8824033.0600000005</v>
      </c>
      <c r="G90" s="53">
        <v>17251916.829999998</v>
      </c>
      <c r="H90" s="53"/>
      <c r="I90" s="58">
        <v>87834.25</v>
      </c>
      <c r="J90" s="53"/>
      <c r="K90" s="31">
        <v>41040955.689999998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>
        <v>41040955.689999998</v>
      </c>
    </row>
    <row r="91" spans="1:23" x14ac:dyDescent="0.35">
      <c r="A91" s="43" t="str">
        <f xml:space="preserve"> _xll.EPMOlapMemberO("[PRODUCT].[PARENTH1].[ZETIA_VYTORIN]","","ZETIA_VYTORIN - Zetia Vytorin","","000")</f>
        <v>ZETIA_VYTORIN - Zetia Vytorin</v>
      </c>
      <c r="B91" s="53"/>
      <c r="C91" s="53">
        <v>4034349.51</v>
      </c>
      <c r="D91" s="53">
        <v>45798087.950000003</v>
      </c>
      <c r="E91" s="53">
        <v>17463000.739999998</v>
      </c>
      <c r="F91" s="53">
        <v>25143701.420000002</v>
      </c>
      <c r="G91" s="53">
        <v>39916478.049999997</v>
      </c>
      <c r="H91" s="53"/>
      <c r="I91" s="58">
        <v>87834.25</v>
      </c>
      <c r="J91" s="53"/>
      <c r="K91" s="31">
        <v>132443451.92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>
        <v>132443451.92</v>
      </c>
    </row>
    <row r="92" spans="1:23" x14ac:dyDescent="0.35">
      <c r="A92" s="47" t="str">
        <f xml:space="preserve"> _xll.EPMOlapMemberO("[PRODUCT].[PARENTH1].[EZA]","","EZA - Atozet","","000")</f>
        <v>EZA - Atozet</v>
      </c>
      <c r="B92" s="53"/>
      <c r="C92" s="53"/>
      <c r="D92" s="53"/>
      <c r="E92" s="53">
        <v>7389155.3399999999</v>
      </c>
      <c r="F92" s="53">
        <v>34770639.5</v>
      </c>
      <c r="G92" s="53">
        <v>68497649.799999997</v>
      </c>
      <c r="H92" s="53"/>
      <c r="I92" s="58"/>
      <c r="J92" s="53"/>
      <c r="K92" s="31">
        <v>110657444.64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>
        <v>110657444.64</v>
      </c>
    </row>
    <row r="93" spans="1:23" x14ac:dyDescent="0.35">
      <c r="A93" s="47" t="str">
        <f xml:space="preserve"> _xll.EPMOlapMemberO("[PRODUCT].[PARENTH1].[ELU]","","ELU - Ezetimibe Atorvastatin Bulk","","000")</f>
        <v>ELU - Ezetimibe Atorvastatin Bulk</v>
      </c>
      <c r="B93" s="53"/>
      <c r="C93" s="53">
        <v>0</v>
      </c>
      <c r="D93" s="53"/>
      <c r="E93" s="53"/>
      <c r="F93" s="53"/>
      <c r="G93" s="53">
        <v>3580157.58</v>
      </c>
      <c r="H93" s="53"/>
      <c r="I93" s="58"/>
      <c r="J93" s="53"/>
      <c r="K93" s="31">
        <v>3580157.58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>
        <v>3580157.58</v>
      </c>
    </row>
    <row r="94" spans="1:23" x14ac:dyDescent="0.35">
      <c r="A94" s="43" t="str">
        <f xml:space="preserve"> _xll.EPMOlapMemberO("[PRODUCT].[PARENTH1].[LIPTRUZET]","","LIPTRUZET - Atozet Products","","000")</f>
        <v>LIPTRUZET - Atozet Products</v>
      </c>
      <c r="B94" s="53"/>
      <c r="C94" s="53">
        <v>0</v>
      </c>
      <c r="D94" s="53"/>
      <c r="E94" s="53">
        <v>7389155.3399999999</v>
      </c>
      <c r="F94" s="53">
        <v>34770639.5</v>
      </c>
      <c r="G94" s="53">
        <v>72077807.379999995</v>
      </c>
      <c r="H94" s="53"/>
      <c r="I94" s="58"/>
      <c r="J94" s="53"/>
      <c r="K94" s="31">
        <v>114237602.22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>
        <v>114237602.22</v>
      </c>
    </row>
    <row r="95" spans="1:23" x14ac:dyDescent="0.35">
      <c r="A95" s="47" t="str">
        <f xml:space="preserve"> _xll.EPMOlapMemberO("[PRODUCT].[PARENTH1].[RCP]","","RCP - Rosuzet Co-Pack","","000")</f>
        <v>RCP - Rosuzet Co-Pack</v>
      </c>
      <c r="B95" s="53"/>
      <c r="C95" s="53"/>
      <c r="D95" s="53"/>
      <c r="E95" s="53"/>
      <c r="F95" s="53">
        <v>1693536.56</v>
      </c>
      <c r="G95" s="53"/>
      <c r="H95" s="53"/>
      <c r="I95" s="58"/>
      <c r="J95" s="53"/>
      <c r="K95" s="31">
        <v>1693536.56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>
        <v>1693536.56</v>
      </c>
    </row>
    <row r="96" spans="1:23" x14ac:dyDescent="0.35">
      <c r="A96" s="47" t="str">
        <f xml:space="preserve"> _xll.EPMOlapMemberO("[PRODUCT].[PARENTH1].[ROS]","","ROS - Rosuzet FDC","","000")</f>
        <v>ROS - Rosuzet FDC</v>
      </c>
      <c r="B96" s="53"/>
      <c r="C96" s="53"/>
      <c r="D96" s="53"/>
      <c r="E96" s="53">
        <v>131200.82</v>
      </c>
      <c r="F96" s="53">
        <v>13372654.310000001</v>
      </c>
      <c r="G96" s="53"/>
      <c r="H96" s="53"/>
      <c r="I96" s="58"/>
      <c r="J96" s="53"/>
      <c r="K96" s="31">
        <v>13503855.130000001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>
        <v>13503855.130000001</v>
      </c>
    </row>
    <row r="97" spans="1:23" x14ac:dyDescent="0.35">
      <c r="A97" s="47" t="str">
        <f xml:space="preserve"> _xll.EPMOlapMemberO("[PRODUCT].[PARENTH1].[ROB]","","ROB - Rosuzet Bulk","","000")</f>
        <v>ROB - Rosuzet Bulk</v>
      </c>
      <c r="B97" s="53"/>
      <c r="C97" s="53"/>
      <c r="D97" s="53"/>
      <c r="E97" s="53"/>
      <c r="F97" s="53"/>
      <c r="G97" s="53"/>
      <c r="H97" s="53"/>
      <c r="I97" s="58"/>
      <c r="J97" s="53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35">
      <c r="A98" s="43" t="str">
        <f xml:space="preserve"> _xll.EPMOlapMemberO("[PRODUCT].[PARENTH1].[ROSPROD]","","ROSPROD - Rosuzet Products","","000")</f>
        <v>ROSPROD - Rosuzet Products</v>
      </c>
      <c r="B98" s="53"/>
      <c r="C98" s="53"/>
      <c r="D98" s="53"/>
      <c r="E98" s="53">
        <v>131200.82</v>
      </c>
      <c r="F98" s="53">
        <v>15066190.869999999</v>
      </c>
      <c r="G98" s="53"/>
      <c r="H98" s="53"/>
      <c r="I98" s="58"/>
      <c r="J98" s="53"/>
      <c r="K98" s="31">
        <v>15197391.689999999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>
        <v>15197391.689999999</v>
      </c>
    </row>
    <row r="99" spans="1:23" x14ac:dyDescent="0.35">
      <c r="A99" s="43" t="str">
        <f xml:space="preserve"> _xll.EPMOlapMemberO("[PRODUCT].[PARENTH1].[GRD]","","GRD - Zetia AG","","000")</f>
        <v>GRD - Zetia AG</v>
      </c>
      <c r="B99" s="53"/>
      <c r="C99" s="53"/>
      <c r="D99" s="53"/>
      <c r="E99" s="53"/>
      <c r="F99" s="53">
        <v>4977133.55</v>
      </c>
      <c r="G99" s="53"/>
      <c r="H99" s="53"/>
      <c r="I99" s="58"/>
      <c r="J99" s="53"/>
      <c r="K99" s="31">
        <v>4977133.55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>
        <v>4977133.55</v>
      </c>
    </row>
    <row r="100" spans="1:23" x14ac:dyDescent="0.35">
      <c r="A100" s="44" t="str">
        <f xml:space="preserve"> _xll.EPMOlapMemberO("[PRODUCT].[PARENTH1].[MSPCHOLPROD]","","MSPCHOLPROD - Ezetimibe Family","","000")</f>
        <v>MSPCHOLPROD - Ezetimibe Family</v>
      </c>
      <c r="B100" s="53"/>
      <c r="C100" s="53">
        <v>4034349.51</v>
      </c>
      <c r="D100" s="53">
        <v>45798087.950000003</v>
      </c>
      <c r="E100" s="53">
        <v>24983356.899999999</v>
      </c>
      <c r="F100" s="53">
        <v>79957665.340000004</v>
      </c>
      <c r="G100" s="53">
        <v>111994285.43000001</v>
      </c>
      <c r="H100" s="53"/>
      <c r="I100" s="58">
        <v>87834.25</v>
      </c>
      <c r="J100" s="53"/>
      <c r="K100" s="31">
        <v>266855579.38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>
        <v>266855579.38</v>
      </c>
    </row>
    <row r="101" spans="1:23" x14ac:dyDescent="0.35">
      <c r="A101" s="44" t="str">
        <f xml:space="preserve"> _xll.EPMOlapMemberO("[PRODUCT].[PARENTH1].[OCP]","","OCP - Lixiana","","000")</f>
        <v>OCP - Lixiana</v>
      </c>
      <c r="B101" s="53"/>
      <c r="C101" s="53"/>
      <c r="D101" s="53"/>
      <c r="E101" s="53"/>
      <c r="F101" s="53"/>
      <c r="G101" s="53">
        <v>7118763.1299999999</v>
      </c>
      <c r="H101" s="53"/>
      <c r="I101" s="58"/>
      <c r="J101" s="53"/>
      <c r="K101" s="31">
        <v>7118763.1299999999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>
        <v>7118763.1299999999</v>
      </c>
    </row>
    <row r="102" spans="1:23" x14ac:dyDescent="0.35">
      <c r="A102" s="52" t="str">
        <f xml:space="preserve"> _xll.EPMOlapMemberO("[PRODUCT].[PARENTH1].[LSN]","","LSN - Cozaar","","000")</f>
        <v>LSN - Cozaar</v>
      </c>
      <c r="B102" s="53"/>
      <c r="C102" s="53">
        <v>2390492.37</v>
      </c>
      <c r="D102" s="53">
        <v>20655683.239999998</v>
      </c>
      <c r="E102" s="53">
        <v>4291566.57</v>
      </c>
      <c r="F102" s="53">
        <v>15538310.439999999</v>
      </c>
      <c r="G102" s="53">
        <v>5115627.0199999996</v>
      </c>
      <c r="H102" s="53"/>
      <c r="I102" s="58"/>
      <c r="J102" s="53"/>
      <c r="K102" s="31">
        <v>47991679.640000001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>
        <v>47991679.640000001</v>
      </c>
    </row>
    <row r="103" spans="1:23" x14ac:dyDescent="0.35">
      <c r="A103" s="52" t="str">
        <f xml:space="preserve"> _xll.EPMOlapMemberO("[PRODUCT].[PARENTH1].[LSB]","","LSB - Losartan Bulk","","000")</f>
        <v>LSB - Losartan Bulk</v>
      </c>
      <c r="B103" s="53"/>
      <c r="C103" s="53"/>
      <c r="D103" s="53"/>
      <c r="E103" s="53">
        <v>63540.75</v>
      </c>
      <c r="F103" s="53"/>
      <c r="G103" s="53">
        <v>84978.44</v>
      </c>
      <c r="H103" s="53"/>
      <c r="I103" s="58"/>
      <c r="J103" s="53"/>
      <c r="K103" s="31">
        <v>148519.19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>
        <v>148519.19</v>
      </c>
    </row>
    <row r="104" spans="1:23" x14ac:dyDescent="0.35">
      <c r="A104" s="47" t="str">
        <f xml:space="preserve"> _xll.EPMOlapMemberO("[PRODUCT].[PARENTH1].[COZAAR_EX_XQ]","","COZAAR_EX_XQ - Cozaar ex-XQ","","000")</f>
        <v>COZAAR_EX_XQ - Cozaar ex-XQ</v>
      </c>
      <c r="B104" s="53"/>
      <c r="C104" s="53">
        <v>2390492.37</v>
      </c>
      <c r="D104" s="53">
        <v>20655683.239999998</v>
      </c>
      <c r="E104" s="53">
        <v>4355107.32</v>
      </c>
      <c r="F104" s="53">
        <v>15538310.439999999</v>
      </c>
      <c r="G104" s="53">
        <v>5200605.46</v>
      </c>
      <c r="H104" s="53"/>
      <c r="I104" s="58"/>
      <c r="J104" s="53"/>
      <c r="K104" s="31">
        <v>48140198.829999998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>
        <v>48140198.829999998</v>
      </c>
    </row>
    <row r="105" spans="1:23" x14ac:dyDescent="0.35">
      <c r="A105" s="47" t="str">
        <f xml:space="preserve"> _xll.EPMOlapMemberO("[PRODUCT].[PARENTH1].[LXQ]","","LXQ - Cozaar XQ","","000")</f>
        <v>LXQ - Cozaar XQ</v>
      </c>
      <c r="B105" s="53"/>
      <c r="C105" s="53"/>
      <c r="D105" s="53"/>
      <c r="E105" s="53">
        <v>1245768.56</v>
      </c>
      <c r="F105" s="53">
        <v>2086734.16</v>
      </c>
      <c r="G105" s="53"/>
      <c r="H105" s="53"/>
      <c r="I105" s="58"/>
      <c r="J105" s="53"/>
      <c r="K105" s="31">
        <v>3332502.72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>
        <v>3332502.72</v>
      </c>
    </row>
    <row r="106" spans="1:23" x14ac:dyDescent="0.35">
      <c r="A106" s="43" t="str">
        <f xml:space="preserve"> _xll.EPMOlapMemberO("[PRODUCT].[PARENTH1].[COZAARPROD]","","COZAARPROD - Cozaar Products","","000")</f>
        <v>COZAARPROD - Cozaar Products</v>
      </c>
      <c r="B106" s="53"/>
      <c r="C106" s="53">
        <v>2390492.37</v>
      </c>
      <c r="D106" s="53">
        <v>20655683.239999998</v>
      </c>
      <c r="E106" s="53">
        <v>5600875.8799999999</v>
      </c>
      <c r="F106" s="53">
        <v>17625044.600000001</v>
      </c>
      <c r="G106" s="53">
        <v>5200605.46</v>
      </c>
      <c r="H106" s="53"/>
      <c r="I106" s="58"/>
      <c r="J106" s="53"/>
      <c r="K106" s="31">
        <v>51472701.549999997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>
        <v>51472701.549999997</v>
      </c>
    </row>
    <row r="107" spans="1:23" x14ac:dyDescent="0.35">
      <c r="A107" s="47" t="str">
        <f xml:space="preserve"> _xll.EPMOlapMemberO("[PRODUCT].[PARENTH1].[HYZ]","","HYZ - Hyzaar","","000")</f>
        <v>HYZ - Hyzaar</v>
      </c>
      <c r="B107" s="53"/>
      <c r="C107" s="53">
        <v>939705.91</v>
      </c>
      <c r="D107" s="53">
        <v>18837028.760000002</v>
      </c>
      <c r="E107" s="53">
        <v>4262859.5199999996</v>
      </c>
      <c r="F107" s="53">
        <v>8531998.5199999996</v>
      </c>
      <c r="G107" s="53">
        <v>3493968.16</v>
      </c>
      <c r="H107" s="53"/>
      <c r="I107" s="58"/>
      <c r="J107" s="53"/>
      <c r="K107" s="31">
        <v>36065560.869999997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>
        <v>36065560.869999997</v>
      </c>
    </row>
    <row r="108" spans="1:23" x14ac:dyDescent="0.35">
      <c r="A108" s="47" t="str">
        <f xml:space="preserve"> _xll.EPMOlapMemberO("[PRODUCT].[PARENTH1].[HYB]","","HYB - Hyzaar Bulk","","000")</f>
        <v>HYB - Hyzaar Bulk</v>
      </c>
      <c r="B108" s="53"/>
      <c r="C108" s="53"/>
      <c r="D108" s="53"/>
      <c r="E108" s="53">
        <v>61879.93</v>
      </c>
      <c r="F108" s="53"/>
      <c r="G108" s="53">
        <v>48216.41</v>
      </c>
      <c r="H108" s="53"/>
      <c r="I108" s="58"/>
      <c r="J108" s="53"/>
      <c r="K108" s="31">
        <v>110096.34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>
        <v>110096.34</v>
      </c>
    </row>
    <row r="109" spans="1:23" x14ac:dyDescent="0.35">
      <c r="A109" s="43" t="str">
        <f xml:space="preserve"> _xll.EPMOlapMemberO("[PRODUCT].[PARENTH1].[HYZAARPROD]","","HYZAARPROD - Hyzaar Products","","000")</f>
        <v>HYZAARPROD - Hyzaar Products</v>
      </c>
      <c r="B109" s="53"/>
      <c r="C109" s="53">
        <v>939705.91</v>
      </c>
      <c r="D109" s="53">
        <v>18837028.760000002</v>
      </c>
      <c r="E109" s="53">
        <v>4324739.45</v>
      </c>
      <c r="F109" s="53">
        <v>8531998.5199999996</v>
      </c>
      <c r="G109" s="53">
        <v>3542184.57</v>
      </c>
      <c r="H109" s="53"/>
      <c r="I109" s="58"/>
      <c r="J109" s="53"/>
      <c r="K109" s="31">
        <v>36175657.210000001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>
        <v>36175657.210000001</v>
      </c>
    </row>
    <row r="110" spans="1:23" x14ac:dyDescent="0.35">
      <c r="A110" s="44" t="str">
        <f xml:space="preserve"> _xll.EPMOlapMemberO("[PRODUCT].[PARENTH1].[COZAAR_HYZAAR]","","COZAAR_HYZAAR - Cozaar Hyzaar Products","","000")</f>
        <v>COZAAR_HYZAAR - Cozaar Hyzaar Products</v>
      </c>
      <c r="B110" s="53"/>
      <c r="C110" s="53">
        <v>3330198.28</v>
      </c>
      <c r="D110" s="53">
        <v>39492712</v>
      </c>
      <c r="E110" s="53">
        <v>9925615.3300000001</v>
      </c>
      <c r="F110" s="53">
        <v>26157043.120000001</v>
      </c>
      <c r="G110" s="53">
        <v>8742790.0299999993</v>
      </c>
      <c r="H110" s="53"/>
      <c r="I110" s="58"/>
      <c r="J110" s="53"/>
      <c r="K110" s="31">
        <v>87648358.760000005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>
        <v>87648358.760000005</v>
      </c>
    </row>
    <row r="111" spans="1:23" x14ac:dyDescent="0.35">
      <c r="A111" s="43" t="str">
        <f xml:space="preserve"> _xll.EPMOlapMemberO("[PRODUCT].[PARENTH1].[ZOC]","","ZOC - Zocor","","000")</f>
        <v>ZOC - Zocor</v>
      </c>
      <c r="B111" s="53"/>
      <c r="C111" s="53">
        <v>1161626.2</v>
      </c>
      <c r="D111" s="53">
        <v>6513802.1399999997</v>
      </c>
      <c r="E111" s="53">
        <v>2206327.58</v>
      </c>
      <c r="F111" s="53">
        <v>3721353.38</v>
      </c>
      <c r="G111" s="53">
        <v>4120512.25</v>
      </c>
      <c r="H111" s="53"/>
      <c r="I111" s="58"/>
      <c r="J111" s="53"/>
      <c r="K111" s="31">
        <v>17723621.550000001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>
        <v>17723621.550000001</v>
      </c>
    </row>
    <row r="112" spans="1:23" x14ac:dyDescent="0.35">
      <c r="A112" s="43" t="str">
        <f xml:space="preserve"> _xll.EPMOlapMemberO("[PRODUCT].[PARENTH1].[SYN]","","SYN - Simvastatin Bulk","","000")</f>
        <v>SYN - Simvastatin Bulk</v>
      </c>
      <c r="B112" s="53"/>
      <c r="C112" s="53"/>
      <c r="D112" s="53">
        <v>0</v>
      </c>
      <c r="E112" s="53">
        <v>319055.94</v>
      </c>
      <c r="F112" s="53">
        <v>105481.11</v>
      </c>
      <c r="G112" s="53">
        <v>51028.4</v>
      </c>
      <c r="H112" s="53"/>
      <c r="I112" s="58"/>
      <c r="J112" s="53"/>
      <c r="K112" s="31">
        <v>475565.45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>
        <v>475565.45</v>
      </c>
    </row>
    <row r="113" spans="1:23" x14ac:dyDescent="0.35">
      <c r="A113" s="44" t="str">
        <f xml:space="preserve"> _xll.EPMOlapMemberO("[PRODUCT].[PARENTH1].[ZOCOR]","","ZOCOR - Zocor Products","","000")</f>
        <v>ZOCOR - Zocor Products</v>
      </c>
      <c r="B113" s="53"/>
      <c r="C113" s="53">
        <v>1161626.2</v>
      </c>
      <c r="D113" s="53">
        <v>6513802.1399999997</v>
      </c>
      <c r="E113" s="53">
        <v>2525383.52</v>
      </c>
      <c r="F113" s="53">
        <v>3826834.49</v>
      </c>
      <c r="G113" s="53">
        <v>4171540.65</v>
      </c>
      <c r="H113" s="53"/>
      <c r="I113" s="58"/>
      <c r="J113" s="53"/>
      <c r="K113" s="31">
        <v>18199187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>
        <v>18199187</v>
      </c>
    </row>
    <row r="114" spans="1:23" x14ac:dyDescent="0.35">
      <c r="A114" s="43" t="str">
        <f xml:space="preserve"> _xll.EPMOlapMemberO("[PRODUCT].[PARENTH1].[RED]","","RED - Vaseretic","","000")</f>
        <v>RED - Vaseretic</v>
      </c>
      <c r="B114" s="53"/>
      <c r="C114" s="53"/>
      <c r="D114" s="53">
        <v>0</v>
      </c>
      <c r="E114" s="53">
        <v>745669.24</v>
      </c>
      <c r="F114" s="53">
        <v>79370.070000000007</v>
      </c>
      <c r="G114" s="53">
        <v>1445733.95</v>
      </c>
      <c r="H114" s="53"/>
      <c r="I114" s="58"/>
      <c r="J114" s="53"/>
      <c r="K114" s="31">
        <v>2270773.2599999998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>
        <v>2270773.2599999998</v>
      </c>
    </row>
    <row r="115" spans="1:23" x14ac:dyDescent="0.35">
      <c r="A115" s="47" t="str">
        <f xml:space="preserve"> _xll.EPMOlapMemberO("[PRODUCT].[PARENTH1].[REX]","","REX - Vasotec","","000")</f>
        <v>REX - Vasotec</v>
      </c>
      <c r="B115" s="53"/>
      <c r="C115" s="53"/>
      <c r="D115" s="53">
        <v>2653.49</v>
      </c>
      <c r="E115" s="53">
        <v>1187560.8500000001</v>
      </c>
      <c r="F115" s="53">
        <v>1503968.57</v>
      </c>
      <c r="G115" s="53">
        <v>2414132.1</v>
      </c>
      <c r="H115" s="53"/>
      <c r="I115" s="58"/>
      <c r="J115" s="53"/>
      <c r="K115" s="31">
        <v>5108315.01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>
        <v>5108315.01</v>
      </c>
    </row>
    <row r="116" spans="1:23" x14ac:dyDescent="0.35">
      <c r="A116" s="47" t="str">
        <f xml:space="preserve"> _xll.EPMOlapMemberO("[PRODUCT].[PARENTH1].[ENA]","","ENA - Enalapril Bulk","","000")</f>
        <v>ENA - Enalapril Bulk</v>
      </c>
      <c r="B116" s="53"/>
      <c r="C116" s="53"/>
      <c r="D116" s="53"/>
      <c r="E116" s="53"/>
      <c r="F116" s="53"/>
      <c r="G116" s="53">
        <v>181318.22</v>
      </c>
      <c r="H116" s="53"/>
      <c r="I116" s="58"/>
      <c r="J116" s="53"/>
      <c r="K116" s="31">
        <v>181318.22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>
        <v>181318.22</v>
      </c>
    </row>
    <row r="117" spans="1:23" x14ac:dyDescent="0.35">
      <c r="A117" s="43" t="str">
        <f xml:space="preserve"> _xll.EPMOlapMemberO("[PRODUCT].[PARENTH1].[VASOTECPROD]","","VASOTECPROD - Vasotec Products","","000")</f>
        <v>VASOTECPROD - Vasotec Products</v>
      </c>
      <c r="B117" s="53"/>
      <c r="C117" s="53"/>
      <c r="D117" s="53">
        <v>2653.49</v>
      </c>
      <c r="E117" s="53">
        <v>1187560.8500000001</v>
      </c>
      <c r="F117" s="53">
        <v>1503968.57</v>
      </c>
      <c r="G117" s="53">
        <v>2595450.3199999998</v>
      </c>
      <c r="H117" s="53"/>
      <c r="I117" s="58"/>
      <c r="J117" s="53"/>
      <c r="K117" s="31">
        <v>5289633.2300000004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>
        <v>5289633.2300000004</v>
      </c>
    </row>
    <row r="118" spans="1:23" x14ac:dyDescent="0.35">
      <c r="A118" s="44" t="str">
        <f xml:space="preserve"> _xll.EPMOlapMemberO("[PRODUCT].[PARENTH1].[VASOTEC_VASERETIC]","","VASOTEC_VASERETIC - Vasotec Vaseretic Products","","000")</f>
        <v>VASOTEC_VASERETIC - Vasotec Vaseretic Products</v>
      </c>
      <c r="B118" s="53"/>
      <c r="C118" s="53"/>
      <c r="D118" s="53">
        <v>2653.49</v>
      </c>
      <c r="E118" s="53">
        <v>1933230.09</v>
      </c>
      <c r="F118" s="53">
        <v>1583338.64</v>
      </c>
      <c r="G118" s="53">
        <v>4041184.27</v>
      </c>
      <c r="H118" s="53"/>
      <c r="I118" s="58"/>
      <c r="J118" s="53"/>
      <c r="K118" s="31">
        <v>7560406.4900000002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>
        <v>7560406.4900000002</v>
      </c>
    </row>
    <row r="119" spans="1:23" x14ac:dyDescent="0.35">
      <c r="A119" s="44" t="str">
        <f xml:space="preserve"> _xll.EPMOlapMemberO("[PRODUCT].[PARENTH1].[XHE]","","XHE - Olmetec Sevikar","","000")</f>
        <v>XHE - Olmetec Sevikar</v>
      </c>
      <c r="B119" s="53"/>
      <c r="C119" s="53"/>
      <c r="D119" s="53"/>
      <c r="E119" s="53">
        <v>3808625.76</v>
      </c>
      <c r="F119" s="53">
        <v>4312248.28</v>
      </c>
      <c r="G119" s="53">
        <v>698946.32</v>
      </c>
      <c r="H119" s="53"/>
      <c r="I119" s="58"/>
      <c r="J119" s="53"/>
      <c r="K119" s="31">
        <v>8819820.3599999994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>
        <v>8819820.3599999994</v>
      </c>
    </row>
    <row r="120" spans="1:23" x14ac:dyDescent="0.35">
      <c r="A120" s="44" t="str">
        <f xml:space="preserve"> _xll.EPMOlapMemberO("[PRODUCT].[PARENTH1].[BPR]","","BPR - Bepricor","","000")</f>
        <v>BPR - Bepricor</v>
      </c>
      <c r="B120" s="53"/>
      <c r="C120" s="53"/>
      <c r="D120" s="53"/>
      <c r="E120" s="53"/>
      <c r="F120" s="53">
        <v>2599183.2000000002</v>
      </c>
      <c r="G120" s="53"/>
      <c r="H120" s="53"/>
      <c r="I120" s="58"/>
      <c r="J120" s="53"/>
      <c r="K120" s="31">
        <v>2599183.2000000002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>
        <v>2599183.2000000002</v>
      </c>
    </row>
    <row r="121" spans="1:23" x14ac:dyDescent="0.35">
      <c r="A121" s="44" t="str">
        <f xml:space="preserve"> _xll.EPMOlapMemberO("[PRODUCT].[PARENTH1].[HYC]","","HYC - Hydrochlorothiazide","","000")</f>
        <v>HYC - Hydrochlorothiazide</v>
      </c>
      <c r="B121" s="53"/>
      <c r="C121" s="53"/>
      <c r="D121" s="53"/>
      <c r="E121" s="53"/>
      <c r="F121" s="53"/>
      <c r="G121" s="53"/>
      <c r="H121" s="53"/>
      <c r="I121" s="58"/>
      <c r="J121" s="53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 spans="1:23" x14ac:dyDescent="0.35">
      <c r="A122" s="49" t="str">
        <f xml:space="preserve"> _xll.EPMOlapMemberO("[PRODUCT].[PARENTH1].[HYPERTENSION]","","HYPERTENSION - Established Cardiovascular","","000")</f>
        <v>HYPERTENSION - Established Cardiovascular</v>
      </c>
      <c r="B122" s="53"/>
      <c r="C122" s="53">
        <v>8526173.9900000002</v>
      </c>
      <c r="D122" s="53">
        <v>91807255.579999998</v>
      </c>
      <c r="E122" s="53">
        <v>43176211.600000001</v>
      </c>
      <c r="F122" s="53">
        <v>118436313.06999999</v>
      </c>
      <c r="G122" s="53">
        <v>136767509.83000001</v>
      </c>
      <c r="H122" s="53"/>
      <c r="I122" s="58">
        <v>87834.25</v>
      </c>
      <c r="J122" s="53"/>
      <c r="K122" s="31">
        <v>398801298.31999999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>
        <v>398801298.31999999</v>
      </c>
    </row>
    <row r="123" spans="1:23" x14ac:dyDescent="0.35">
      <c r="A123" s="43" t="str">
        <f xml:space="preserve"> _xll.EPMOlapMemberO("[PRODUCT].[PARENTH1].[XLI]","","XLI - Livial","","000")</f>
        <v>XLI - Livial</v>
      </c>
      <c r="B123" s="53"/>
      <c r="C123" s="53"/>
      <c r="D123" s="53">
        <v>2101777.96</v>
      </c>
      <c r="E123" s="53">
        <v>2446695.35</v>
      </c>
      <c r="F123" s="53">
        <v>4259467.13</v>
      </c>
      <c r="G123" s="53">
        <v>3809693.37</v>
      </c>
      <c r="H123" s="53"/>
      <c r="I123" s="58"/>
      <c r="J123" s="53"/>
      <c r="K123" s="31">
        <v>12617633.810000001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>
        <v>12617633.810000001</v>
      </c>
    </row>
    <row r="124" spans="1:23" x14ac:dyDescent="0.35">
      <c r="A124" s="43" t="str">
        <f xml:space="preserve"> _xll.EPMOlapMemberO("[PRODUCT].[PARENTH1].[XEL]","","XEL - Estradiol","","000")</f>
        <v>XEL - Estradiol</v>
      </c>
      <c r="B124" s="53"/>
      <c r="C124" s="53"/>
      <c r="D124" s="53"/>
      <c r="E124" s="53">
        <v>852144.52</v>
      </c>
      <c r="F124" s="53"/>
      <c r="G124" s="53">
        <v>2811112.26</v>
      </c>
      <c r="H124" s="53"/>
      <c r="I124" s="58"/>
      <c r="J124" s="53"/>
      <c r="K124" s="31">
        <v>3663256.78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>
        <v>3663256.78</v>
      </c>
    </row>
    <row r="125" spans="1:23" x14ac:dyDescent="0.35">
      <c r="A125" s="43" t="str">
        <f xml:space="preserve"> _xll.EPMOlapMemberO("[PRODUCT].[PARENTH1].[XPM]","","XPM - Prometrium","","000")</f>
        <v>XPM - Prometrium</v>
      </c>
      <c r="B125" s="53"/>
      <c r="C125" s="53"/>
      <c r="D125" s="53"/>
      <c r="E125" s="53"/>
      <c r="F125" s="53"/>
      <c r="G125" s="53">
        <v>4673658.8799999999</v>
      </c>
      <c r="H125" s="53"/>
      <c r="I125" s="58"/>
      <c r="J125" s="53"/>
      <c r="K125" s="31">
        <v>4673658.8799999999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>
        <v>4673658.8799999999</v>
      </c>
    </row>
    <row r="126" spans="1:23" x14ac:dyDescent="0.35">
      <c r="A126" s="43" t="str">
        <f xml:space="preserve"> _xll.EPMOlapMemberO("[PRODUCT].[PARENTH1].[XWE]","","XWE - Duavive","","000")</f>
        <v>XWE - Duavive</v>
      </c>
      <c r="B126" s="53"/>
      <c r="C126" s="53"/>
      <c r="D126" s="53"/>
      <c r="E126" s="53"/>
      <c r="F126" s="53"/>
      <c r="G126" s="53">
        <v>-4403.6000000000004</v>
      </c>
      <c r="H126" s="53"/>
      <c r="I126" s="58"/>
      <c r="J126" s="53"/>
      <c r="K126" s="31">
        <v>-4403.6000000000004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>
        <v>-4403.6000000000004</v>
      </c>
    </row>
    <row r="127" spans="1:23" x14ac:dyDescent="0.35">
      <c r="A127" s="44" t="str">
        <f xml:space="preserve"> _xll.EPMOlapMemberO("[PRODUCT].[PARENTH1].[HORMONES]","","HORMONES - Hormones","","000")</f>
        <v>HORMONES - Hormones</v>
      </c>
      <c r="B127" s="53"/>
      <c r="C127" s="53"/>
      <c r="D127" s="53">
        <v>2101777.96</v>
      </c>
      <c r="E127" s="53">
        <v>3298839.87</v>
      </c>
      <c r="F127" s="53">
        <v>4259467.13</v>
      </c>
      <c r="G127" s="53">
        <v>11290060.91</v>
      </c>
      <c r="H127" s="53"/>
      <c r="I127" s="58"/>
      <c r="J127" s="53"/>
      <c r="K127" s="31">
        <v>20950145.870000001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>
        <v>20950145.870000001</v>
      </c>
    </row>
    <row r="128" spans="1:23" x14ac:dyDescent="0.35">
      <c r="A128" s="47" t="str">
        <f xml:space="preserve"> _xll.EPMOlapMemberO("[PRODUCT].[PARENTH1].[MXT]","","MXT - Maxalt","","000")</f>
        <v>MXT - Maxalt</v>
      </c>
      <c r="B128" s="53"/>
      <c r="C128" s="53">
        <v>1978790.7</v>
      </c>
      <c r="D128" s="53"/>
      <c r="E128" s="53">
        <v>855211.79</v>
      </c>
      <c r="F128" s="53">
        <v>1979569.21</v>
      </c>
      <c r="G128" s="53">
        <v>12260833</v>
      </c>
      <c r="H128" s="53"/>
      <c r="I128" s="58"/>
      <c r="J128" s="53"/>
      <c r="K128" s="31">
        <v>17074404.699999999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>
        <v>17074404.699999999</v>
      </c>
    </row>
    <row r="129" spans="1:23" x14ac:dyDescent="0.35">
      <c r="A129" s="47" t="str">
        <f xml:space="preserve"> _xll.EPMOlapMemberO("[PRODUCT].[PARENTH1].[RIZ]","","RIZ - Rizatriptan Bulk","","000")</f>
        <v>RIZ - Rizatriptan Bulk</v>
      </c>
      <c r="B129" s="53"/>
      <c r="C129" s="53">
        <v>0</v>
      </c>
      <c r="D129" s="53"/>
      <c r="E129" s="53"/>
      <c r="F129" s="53">
        <v>-36089.279999999999</v>
      </c>
      <c r="G129" s="53">
        <v>19094.79</v>
      </c>
      <c r="H129" s="53"/>
      <c r="I129" s="58"/>
      <c r="J129" s="53"/>
      <c r="K129" s="31">
        <v>-16994.490000000002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>
        <v>-16994.490000000002</v>
      </c>
    </row>
    <row r="130" spans="1:23" x14ac:dyDescent="0.35">
      <c r="A130" s="43" t="str">
        <f xml:space="preserve"> _xll.EPMOlapMemberO("[PRODUCT].[PARENTH1].[MAXALTPROD]","","MAXALTPROD - Maxalt Products","","000")</f>
        <v>MAXALTPROD - Maxalt Products</v>
      </c>
      <c r="B130" s="53"/>
      <c r="C130" s="53">
        <v>1978790.7</v>
      </c>
      <c r="D130" s="53"/>
      <c r="E130" s="53">
        <v>855211.79</v>
      </c>
      <c r="F130" s="53">
        <v>1943479.93</v>
      </c>
      <c r="G130" s="53">
        <v>12279927.789999999</v>
      </c>
      <c r="H130" s="53"/>
      <c r="I130" s="58"/>
      <c r="J130" s="53"/>
      <c r="K130" s="31">
        <v>17057410.210000001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>
        <v>17057410.210000001</v>
      </c>
    </row>
    <row r="131" spans="1:23" x14ac:dyDescent="0.35">
      <c r="A131" s="43" t="str">
        <f xml:space="preserve"> _xll.EPMOlapMemberO("[PRODUCT].[PARENTH1].[XRE]","","XRE - Remeron","","000")</f>
        <v>XRE - Remeron</v>
      </c>
      <c r="B131" s="53"/>
      <c r="C131" s="53">
        <v>1444824.87</v>
      </c>
      <c r="D131" s="53">
        <v>5233378.18</v>
      </c>
      <c r="E131" s="53">
        <v>2636648.52</v>
      </c>
      <c r="F131" s="53">
        <v>3864905.72</v>
      </c>
      <c r="G131" s="53">
        <v>5379040.46</v>
      </c>
      <c r="H131" s="53"/>
      <c r="I131" s="58"/>
      <c r="J131" s="53"/>
      <c r="K131" s="31">
        <v>18558797.75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>
        <v>18558797.75</v>
      </c>
    </row>
    <row r="132" spans="1:23" x14ac:dyDescent="0.35">
      <c r="A132" s="47" t="str">
        <f xml:space="preserve"> _xll.EPMOlapMemberO("[PRODUCT].[PARENTH1].[SID]","","SID - SINEMET DuPont","","000")</f>
        <v>SID - SINEMET DuPont</v>
      </c>
      <c r="B132" s="53"/>
      <c r="C132" s="53"/>
      <c r="D132" s="53"/>
      <c r="E132" s="53"/>
      <c r="F132" s="53"/>
      <c r="G132" s="53"/>
      <c r="H132" s="53"/>
      <c r="I132" s="58"/>
      <c r="J132" s="53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 spans="1:23" x14ac:dyDescent="0.35">
      <c r="A133" s="47" t="str">
        <f xml:space="preserve"> _xll.EPMOlapMemberO("[PRODUCT].[PARENTH1].[SIU]","","SIU - SINEMET CR DuPont","","000")</f>
        <v>SIU - SINEMET CR DuPont</v>
      </c>
      <c r="B133" s="53"/>
      <c r="C133" s="53"/>
      <c r="D133" s="53"/>
      <c r="E133" s="53"/>
      <c r="F133" s="53"/>
      <c r="G133" s="53"/>
      <c r="H133" s="53"/>
      <c r="I133" s="58"/>
      <c r="J133" s="53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x14ac:dyDescent="0.35">
      <c r="A134" s="47" t="str">
        <f xml:space="preserve"> _xll.EPMOlapMemberO("[PRODUCT].[PARENTH1].[SIX]","","SIX - Sinemet IR Sinemet CR","","000")</f>
        <v>SIX - Sinemet IR Sinemet CR</v>
      </c>
      <c r="B134" s="53"/>
      <c r="C134" s="53">
        <v>263770.78999999998</v>
      </c>
      <c r="D134" s="53">
        <v>189418.46</v>
      </c>
      <c r="E134" s="53">
        <v>1196639.07</v>
      </c>
      <c r="F134" s="53">
        <v>3735697.53</v>
      </c>
      <c r="G134" s="53">
        <v>12125560.119999999</v>
      </c>
      <c r="H134" s="53"/>
      <c r="I134" s="58"/>
      <c r="J134" s="53"/>
      <c r="K134" s="31">
        <v>17511085.969999999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>
        <v>17511085.969999999</v>
      </c>
    </row>
    <row r="135" spans="1:23" x14ac:dyDescent="0.35">
      <c r="A135" s="43" t="str">
        <f xml:space="preserve"> _xll.EPMOlapMemberO("[PRODUCT].[PARENTH1].[SINEMETPROD]","","SINEMETPROD - Sinemet Products","","000")</f>
        <v>SINEMETPROD - Sinemet Products</v>
      </c>
      <c r="B135" s="53"/>
      <c r="C135" s="53">
        <v>263770.78999999998</v>
      </c>
      <c r="D135" s="53">
        <v>189418.46</v>
      </c>
      <c r="E135" s="53">
        <v>1196639.07</v>
      </c>
      <c r="F135" s="53">
        <v>3735697.53</v>
      </c>
      <c r="G135" s="53">
        <v>12125560.119999999</v>
      </c>
      <c r="H135" s="53"/>
      <c r="I135" s="58"/>
      <c r="J135" s="53"/>
      <c r="K135" s="31">
        <v>17511085.969999999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>
        <v>17511085.969999999</v>
      </c>
    </row>
    <row r="136" spans="1:23" x14ac:dyDescent="0.35">
      <c r="A136" s="43" t="str">
        <f xml:space="preserve"> _xll.EPMOlapMemberO("[PRODUCT].[PARENTH1].[XSA]","","XSA - Saphris","","000")</f>
        <v>XSA - Saphris</v>
      </c>
      <c r="B136" s="53"/>
      <c r="C136" s="53">
        <v>5950967.2999999998</v>
      </c>
      <c r="D136" s="53"/>
      <c r="E136" s="53"/>
      <c r="F136" s="53">
        <v>2712590.79</v>
      </c>
      <c r="G136" s="53">
        <v>3356777.69</v>
      </c>
      <c r="H136" s="53"/>
      <c r="I136" s="58">
        <v>21.35</v>
      </c>
      <c r="J136" s="53"/>
      <c r="K136" s="31">
        <v>12020357.130000001</v>
      </c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>
        <v>12020357.130000001</v>
      </c>
    </row>
    <row r="137" spans="1:23" x14ac:dyDescent="0.35">
      <c r="A137" s="43" t="str">
        <f xml:space="preserve"> _xll.EPMOlapMemberO("[PRODUCT].[PARENTH1].[XMR]","","XMR - Tolvon","","000")</f>
        <v>XMR - Tolvon</v>
      </c>
      <c r="B137" s="53"/>
      <c r="C137" s="53"/>
      <c r="D137" s="53"/>
      <c r="E137" s="53">
        <v>224542.49</v>
      </c>
      <c r="F137" s="53">
        <v>-2728503.11</v>
      </c>
      <c r="G137" s="53">
        <v>723897.68</v>
      </c>
      <c r="H137" s="53"/>
      <c r="I137" s="58"/>
      <c r="J137" s="53"/>
      <c r="K137" s="31">
        <v>-1780062.94</v>
      </c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>
        <v>-1780062.94</v>
      </c>
    </row>
    <row r="138" spans="1:23" x14ac:dyDescent="0.35">
      <c r="A138" s="43" t="str">
        <f xml:space="preserve"> _xll.EPMOlapMemberO("[PRODUCT].[PARENTH1].[SAP]","","SAP - Saphris AG","","000")</f>
        <v>SAP - Saphris AG</v>
      </c>
      <c r="B138" s="53"/>
      <c r="C138" s="53"/>
      <c r="D138" s="53"/>
      <c r="E138" s="53"/>
      <c r="F138" s="53"/>
      <c r="G138" s="53"/>
      <c r="H138" s="53"/>
      <c r="I138" s="58"/>
      <c r="J138" s="53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 spans="1:23" x14ac:dyDescent="0.35">
      <c r="A139" s="43" t="str">
        <f xml:space="preserve"> _xll.EPMOlapMemberO("[PRODUCT].[PARENTH1].[XRN]","","XRN - Reslin","","000")</f>
        <v>XRN - Reslin</v>
      </c>
      <c r="B139" s="53"/>
      <c r="C139" s="53"/>
      <c r="D139" s="53"/>
      <c r="E139" s="53"/>
      <c r="F139" s="53">
        <v>706647.33</v>
      </c>
      <c r="G139" s="53"/>
      <c r="H139" s="53"/>
      <c r="I139" s="58"/>
      <c r="J139" s="53"/>
      <c r="K139" s="31">
        <v>706647.33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706647.33</v>
      </c>
    </row>
    <row r="140" spans="1:23" x14ac:dyDescent="0.35">
      <c r="A140" s="43" t="str">
        <f xml:space="preserve"> _xll.EPMOlapMemberO("[PRODUCT].[PARENTH1].[TLA]","","TLA - Taloxa","","000")</f>
        <v>TLA - Taloxa</v>
      </c>
      <c r="B140" s="53"/>
      <c r="C140" s="53"/>
      <c r="D140" s="53"/>
      <c r="E140" s="53">
        <v>100216</v>
      </c>
      <c r="F140" s="53"/>
      <c r="G140" s="53">
        <v>869754.16</v>
      </c>
      <c r="H140" s="53"/>
      <c r="I140" s="58"/>
      <c r="J140" s="53"/>
      <c r="K140" s="31">
        <v>969970.16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>
        <v>969970.16</v>
      </c>
    </row>
    <row r="141" spans="1:23" x14ac:dyDescent="0.35">
      <c r="A141" s="44" t="str">
        <f xml:space="preserve"> _xll.EPMOlapMemberO("[PRODUCT].[PARENTH1].[LEGACY_CNS]","","LEGACY_CNS - Established CNS","","000")</f>
        <v>LEGACY_CNS - Established CNS</v>
      </c>
      <c r="B141" s="53"/>
      <c r="C141" s="53">
        <v>9638353.6600000001</v>
      </c>
      <c r="D141" s="53">
        <v>5422796.6399999997</v>
      </c>
      <c r="E141" s="53">
        <v>5013257.87</v>
      </c>
      <c r="F141" s="53">
        <v>10234818.189999999</v>
      </c>
      <c r="G141" s="53">
        <v>34734957.899999999</v>
      </c>
      <c r="H141" s="53"/>
      <c r="I141" s="58">
        <v>21.35</v>
      </c>
      <c r="J141" s="53"/>
      <c r="K141" s="31">
        <v>65044205.609999999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>
        <v>65044205.609999999</v>
      </c>
    </row>
    <row r="142" spans="1:23" x14ac:dyDescent="0.35">
      <c r="A142" s="52" t="str">
        <f xml:space="preserve"> _xll.EPMOlapMemberO("[PRODUCT].[PARENTH1].[BPH]","","BPH - Proscar","","000")</f>
        <v>BPH - Proscar</v>
      </c>
      <c r="B142" s="53"/>
      <c r="C142" s="53">
        <v>423980.04</v>
      </c>
      <c r="D142" s="53">
        <v>18691388.969999999</v>
      </c>
      <c r="E142" s="53">
        <v>1076692.71</v>
      </c>
      <c r="F142" s="53">
        <v>4379835.8899999997</v>
      </c>
      <c r="G142" s="53">
        <v>2595393.39</v>
      </c>
      <c r="H142" s="53"/>
      <c r="I142" s="58"/>
      <c r="J142" s="53"/>
      <c r="K142" s="31">
        <v>27167291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>
        <v>27167291</v>
      </c>
    </row>
    <row r="143" spans="1:23" x14ac:dyDescent="0.35">
      <c r="A143" s="52" t="str">
        <f xml:space="preserve"> _xll.EPMOlapMemberO("[PRODUCT].[PARENTH1].[FNB]","","FNB - Finasteride Bulk","","000")</f>
        <v>FNB - Finasteride Bulk</v>
      </c>
      <c r="B143" s="53"/>
      <c r="C143" s="53">
        <v>0</v>
      </c>
      <c r="D143" s="53"/>
      <c r="E143" s="53"/>
      <c r="F143" s="53"/>
      <c r="G143" s="53">
        <v>673316.79</v>
      </c>
      <c r="H143" s="53"/>
      <c r="I143" s="58"/>
      <c r="J143" s="53"/>
      <c r="K143" s="31">
        <v>673316.79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>
        <v>673316.79</v>
      </c>
    </row>
    <row r="144" spans="1:23" x14ac:dyDescent="0.35">
      <c r="A144" s="47" t="str">
        <f xml:space="preserve"> _xll.EPMOlapMemberO("[PRODUCT].[PARENTH1].[PROSCARPROD]","","PROSCARPROD - Proscar Products","","000")</f>
        <v>PROSCARPROD - Proscar Products</v>
      </c>
      <c r="B144" s="53"/>
      <c r="C144" s="53">
        <v>423980.04</v>
      </c>
      <c r="D144" s="53">
        <v>18691388.969999999</v>
      </c>
      <c r="E144" s="53">
        <v>1076692.71</v>
      </c>
      <c r="F144" s="53">
        <v>4379835.8899999997</v>
      </c>
      <c r="G144" s="53">
        <v>3268710.18</v>
      </c>
      <c r="H144" s="53"/>
      <c r="I144" s="58"/>
      <c r="J144" s="53"/>
      <c r="K144" s="31">
        <v>27840607.789999999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>
        <v>27840607.789999999</v>
      </c>
    </row>
    <row r="145" spans="1:23" x14ac:dyDescent="0.35">
      <c r="A145" s="52" t="str">
        <f xml:space="preserve"> _xll.EPMOlapMemberO("[PRODUCT].[PARENTH1].[PRO]","","PRO - Propecia","","000")</f>
        <v>PRO - Propecia</v>
      </c>
      <c r="B145" s="53"/>
      <c r="C145" s="53">
        <v>716578.17</v>
      </c>
      <c r="D145" s="53">
        <v>11827191.65</v>
      </c>
      <c r="E145" s="53">
        <v>901498.88</v>
      </c>
      <c r="F145" s="53">
        <v>17170530.489999998</v>
      </c>
      <c r="G145" s="53">
        <v>3230981.69</v>
      </c>
      <c r="H145" s="53"/>
      <c r="I145" s="58"/>
      <c r="J145" s="53"/>
      <c r="K145" s="31">
        <v>33846780.880000003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>
        <v>33846780.880000003</v>
      </c>
    </row>
    <row r="146" spans="1:23" x14ac:dyDescent="0.35">
      <c r="A146" s="52" t="str">
        <f xml:space="preserve"> _xll.EPMOlapMemberO("[PRODUCT].[PARENTH1].[PRB]","","PRB - Propecia Bulk","","000")</f>
        <v>PRB - Propecia Bulk</v>
      </c>
      <c r="B146" s="53"/>
      <c r="C146" s="53">
        <v>0</v>
      </c>
      <c r="D146" s="53"/>
      <c r="E146" s="53"/>
      <c r="F146" s="53"/>
      <c r="G146" s="53"/>
      <c r="H146" s="53"/>
      <c r="I146" s="58"/>
      <c r="J146" s="53"/>
      <c r="K146" s="31">
        <v>0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>
        <v>0</v>
      </c>
    </row>
    <row r="147" spans="1:23" x14ac:dyDescent="0.35">
      <c r="A147" s="47" t="str">
        <f xml:space="preserve"> _xll.EPMOlapMemberO("[PRODUCT].[PARENTH1].[PROPECIAPROD]","","PROPECIAPROD - Propecia Products","","000")</f>
        <v>PROPECIAPROD - Propecia Products</v>
      </c>
      <c r="B147" s="53"/>
      <c r="C147" s="53">
        <v>716578.17</v>
      </c>
      <c r="D147" s="53">
        <v>11827191.65</v>
      </c>
      <c r="E147" s="53">
        <v>901498.88</v>
      </c>
      <c r="F147" s="53">
        <v>17170530.489999998</v>
      </c>
      <c r="G147" s="53">
        <v>3230981.69</v>
      </c>
      <c r="H147" s="53"/>
      <c r="I147" s="58"/>
      <c r="J147" s="53"/>
      <c r="K147" s="31">
        <v>33846780.880000003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>
        <v>33846780.880000003</v>
      </c>
    </row>
    <row r="148" spans="1:23" x14ac:dyDescent="0.35">
      <c r="A148" s="43" t="str">
        <f xml:space="preserve"> _xll.EPMOlapMemberO("[PRODUCT].[PARENTH1].[UROLOGY]","","UROLOGY - Men's Health","","000")</f>
        <v>UROLOGY - Men's Health</v>
      </c>
      <c r="B148" s="53"/>
      <c r="C148" s="53">
        <v>1140558.21</v>
      </c>
      <c r="D148" s="53">
        <v>30518580.620000001</v>
      </c>
      <c r="E148" s="53">
        <v>1978191.59</v>
      </c>
      <c r="F148" s="53">
        <v>21550366.379999999</v>
      </c>
      <c r="G148" s="53">
        <v>6499691.8700000001</v>
      </c>
      <c r="H148" s="53"/>
      <c r="I148" s="58"/>
      <c r="J148" s="53"/>
      <c r="K148" s="31">
        <v>61687388.670000002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>
        <v>61687388.670000002</v>
      </c>
    </row>
    <row r="149" spans="1:23" x14ac:dyDescent="0.35">
      <c r="A149" s="47" t="str">
        <f xml:space="preserve"> _xll.EPMOlapMemberO("[PRODUCT].[PARENTH1].[ATR]","","ATR - All Other Pharm Products","","000")</f>
        <v>ATR - All Other Pharm Products</v>
      </c>
      <c r="B149" s="53"/>
      <c r="C149" s="53">
        <v>-891285.77</v>
      </c>
      <c r="D149" s="53">
        <v>0.02</v>
      </c>
      <c r="E149" s="53">
        <v>10630.46</v>
      </c>
      <c r="F149" s="53">
        <v>-0.02</v>
      </c>
      <c r="G149" s="53">
        <v>-7596.96</v>
      </c>
      <c r="H149" s="53"/>
      <c r="I149" s="58"/>
      <c r="J149" s="53"/>
      <c r="K149" s="31">
        <v>-888252.27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>
        <v>-888252.27</v>
      </c>
    </row>
    <row r="150" spans="1:23" x14ac:dyDescent="0.35">
      <c r="A150" s="47" t="str">
        <f xml:space="preserve"> _xll.EPMOlapMemberO("[PRODUCT].[PARENTH1].[XTR]","","XTR - Demo Placebo and Misc. Items","","000")</f>
        <v>XTR - Demo Placebo and Misc. Items</v>
      </c>
      <c r="B150" s="53"/>
      <c r="C150" s="53">
        <v>2645241.9700000002</v>
      </c>
      <c r="D150" s="53"/>
      <c r="E150" s="53">
        <v>1717.48</v>
      </c>
      <c r="F150" s="53">
        <v>151933.23302889999</v>
      </c>
      <c r="G150" s="53">
        <v>4228816.9800000004</v>
      </c>
      <c r="H150" s="53"/>
      <c r="I150" s="58">
        <v>436621.5</v>
      </c>
      <c r="J150" s="53"/>
      <c r="K150" s="31">
        <v>7464331.1630288996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>
        <v>7464331.1630288996</v>
      </c>
    </row>
    <row r="151" spans="1:23" x14ac:dyDescent="0.35">
      <c r="A151" s="43" t="str">
        <f xml:space="preserve"> _xll.EPMOlapMemberO("[PRODUCT].[PARENTH1].[TOTAL_OTH_PHARM_PROD]","","TOTAL_OTH_PHARM_PROD - Total Other Pharm Products","","000")</f>
        <v>TOTAL_OTH_PHARM_PROD - Total Other Pharm Products</v>
      </c>
      <c r="B151" s="53"/>
      <c r="C151" s="53">
        <v>1753956.2</v>
      </c>
      <c r="D151" s="53">
        <v>0.02</v>
      </c>
      <c r="E151" s="53">
        <v>12347.94</v>
      </c>
      <c r="F151" s="53">
        <v>151933.21302890001</v>
      </c>
      <c r="G151" s="53">
        <v>4221220.0199999996</v>
      </c>
      <c r="H151" s="53"/>
      <c r="I151" s="58">
        <v>436621.5</v>
      </c>
      <c r="J151" s="53"/>
      <c r="K151" s="31">
        <v>6576078.8930289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>
        <v>6576078.8930289</v>
      </c>
    </row>
    <row r="152" spans="1:23" x14ac:dyDescent="0.35">
      <c r="A152" s="43" t="str">
        <f xml:space="preserve"> _xll.EPMOlapMemberO("[PRODUCT].[PARENTH1].[CTZ]","","CTZ - Cotazym","","000")</f>
        <v>CTZ - Cotazym</v>
      </c>
      <c r="B152" s="53"/>
      <c r="C152" s="53"/>
      <c r="D152" s="53"/>
      <c r="E152" s="53"/>
      <c r="F152" s="53"/>
      <c r="G152" s="53">
        <v>2216243.96</v>
      </c>
      <c r="H152" s="53"/>
      <c r="I152" s="58"/>
      <c r="J152" s="53"/>
      <c r="K152" s="31">
        <v>2216243.96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>
        <v>2216243.96</v>
      </c>
    </row>
    <row r="153" spans="1:23" x14ac:dyDescent="0.35">
      <c r="A153" s="43" t="str">
        <f xml:space="preserve"> _xll.EPMOlapMemberO("[PRODUCT].[PARENTH1].[PPT]","","PPT - Pregcolor Pregnancy Test","","000")</f>
        <v>PPT - Pregcolor Pregnancy Test</v>
      </c>
      <c r="B153" s="53"/>
      <c r="C153" s="53"/>
      <c r="D153" s="53"/>
      <c r="E153" s="53">
        <v>160817.41</v>
      </c>
      <c r="F153" s="53"/>
      <c r="G153" s="53"/>
      <c r="H153" s="53"/>
      <c r="I153" s="58"/>
      <c r="J153" s="53"/>
      <c r="K153" s="31">
        <v>160817.41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>
        <v>160817.41</v>
      </c>
    </row>
    <row r="154" spans="1:23" x14ac:dyDescent="0.35">
      <c r="A154" s="43" t="str">
        <f xml:space="preserve"> _xll.EPMOlapMemberO("[PRODUCT].[PARENTH1].[MIG]","","MIG - Branded Generics - Established","","000")</f>
        <v>MIG - Branded Generics - Established</v>
      </c>
      <c r="B154" s="53"/>
      <c r="C154" s="53">
        <v>-1869000</v>
      </c>
      <c r="D154" s="53"/>
      <c r="E154" s="53"/>
      <c r="F154" s="53"/>
      <c r="G154" s="53"/>
      <c r="H154" s="53"/>
      <c r="I154" s="58"/>
      <c r="J154" s="53"/>
      <c r="K154" s="31">
        <v>-1869000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>
        <v>-1869000</v>
      </c>
    </row>
    <row r="155" spans="1:23" x14ac:dyDescent="0.35">
      <c r="A155" s="43" t="str">
        <f xml:space="preserve"> _xll.EPMOlapMemberO("[PRODUCT].[PARENTH1].[AUX]","","AUX - Auxiliary Components","","000")</f>
        <v>AUX - Auxiliary Components</v>
      </c>
      <c r="B155" s="53"/>
      <c r="C155" s="53"/>
      <c r="D155" s="53"/>
      <c r="E155" s="53"/>
      <c r="F155" s="53"/>
      <c r="G155" s="53"/>
      <c r="H155" s="53"/>
      <c r="I155" s="58"/>
      <c r="J155" s="53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</row>
    <row r="156" spans="1:23" x14ac:dyDescent="0.35">
      <c r="A156" s="44" t="str">
        <f xml:space="preserve"> _xll.EPMOlapMemberO("[PRODUCT].[PARENTH1].[OTHER_LEGACY]","","OTHER_LEGACY - Other Established","","000")</f>
        <v>OTHER_LEGACY - Other Established</v>
      </c>
      <c r="B156" s="53"/>
      <c r="C156" s="53">
        <v>1025514.41</v>
      </c>
      <c r="D156" s="53">
        <v>30518580.640000001</v>
      </c>
      <c r="E156" s="53">
        <v>2151356.94</v>
      </c>
      <c r="F156" s="53">
        <v>21702299.593028899</v>
      </c>
      <c r="G156" s="53">
        <v>12937155.85</v>
      </c>
      <c r="H156" s="53"/>
      <c r="I156" s="58">
        <v>436621.5</v>
      </c>
      <c r="J156" s="53"/>
      <c r="K156" s="31">
        <v>68771528.933028907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>
        <v>68771528.933028907</v>
      </c>
    </row>
    <row r="157" spans="1:23" x14ac:dyDescent="0.35">
      <c r="A157" s="49" t="str">
        <f xml:space="preserve"> _xll.EPMOlapMemberO("[PRODUCT].[PARENTH1].[LEGACY_OTHER]","","LEGACY_OTHER - Established Other","","000")</f>
        <v>LEGACY_OTHER - Established Other</v>
      </c>
      <c r="B157" s="53"/>
      <c r="C157" s="53">
        <v>10663868.07</v>
      </c>
      <c r="D157" s="53">
        <v>38043155.240000002</v>
      </c>
      <c r="E157" s="53">
        <v>10463454.68</v>
      </c>
      <c r="F157" s="53">
        <v>36196584.913028903</v>
      </c>
      <c r="G157" s="53">
        <v>58962174.659999996</v>
      </c>
      <c r="H157" s="53"/>
      <c r="I157" s="58">
        <v>436642.85</v>
      </c>
      <c r="J157" s="53"/>
      <c r="K157" s="31">
        <v>154765880.4130289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>
        <v>154765880.4130289</v>
      </c>
    </row>
    <row r="158" spans="1:23" x14ac:dyDescent="0.35">
      <c r="A158" s="46" t="str">
        <f xml:space="preserve"> _xll.EPMOlapMemberO("[PRODUCT].[PARENTH1].[LEGACY_BRANDS]","","LEGACY_BRANDS - Established Brands","","000")</f>
        <v>LEGACY_BRANDS - Established Brands</v>
      </c>
      <c r="B158" s="53"/>
      <c r="C158" s="53">
        <v>95336596.980000004</v>
      </c>
      <c r="D158" s="53">
        <v>228899221.66</v>
      </c>
      <c r="E158" s="53">
        <v>146260327.28</v>
      </c>
      <c r="F158" s="53">
        <v>247428244.42982259</v>
      </c>
      <c r="G158" s="53">
        <v>309563969.19999999</v>
      </c>
      <c r="H158" s="53"/>
      <c r="I158" s="58">
        <v>746991.1</v>
      </c>
      <c r="J158" s="53"/>
      <c r="K158" s="31">
        <v>1028235350.6498226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1028235350.6498226</v>
      </c>
    </row>
    <row r="159" spans="1:23" x14ac:dyDescent="0.35">
      <c r="A159" s="51" t="str">
        <f xml:space="preserve"> _xll.EPMOlapMemberO("[PRODUCT].[PARENTH1].[ORGANON_TOTAL]","","ORGANON_TOTAL - Organon","","000")</f>
        <v>ORGANON_TOTAL - Organon</v>
      </c>
      <c r="B159" s="53"/>
      <c r="C159" s="53">
        <v>345527823.06999999</v>
      </c>
      <c r="D159" s="53">
        <v>251613897.44999999</v>
      </c>
      <c r="E159" s="53">
        <v>238380773.31999999</v>
      </c>
      <c r="F159" s="53">
        <v>289075506.19131058</v>
      </c>
      <c r="G159" s="53">
        <v>423343689.23000002</v>
      </c>
      <c r="H159" s="53"/>
      <c r="I159" s="58">
        <v>310369.59999999998</v>
      </c>
      <c r="J159" s="53"/>
      <c r="K159" s="31">
        <v>1548252058.8613105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>
        <v>1548252058.8613105</v>
      </c>
    </row>
    <row r="160" spans="1:23" x14ac:dyDescent="0.35">
      <c r="A160" s="51" t="str">
        <f xml:space="preserve"> _xll.EPMOlapMemberO("[PRODUCT].[PARENTH1].[XXX]","","XXX - Not Product Specific","","000")</f>
        <v>XXX - Not Product Specific</v>
      </c>
      <c r="B160" s="53"/>
      <c r="C160" s="53">
        <v>-0.43</v>
      </c>
      <c r="D160" s="53"/>
      <c r="E160" s="53">
        <v>-140396.68</v>
      </c>
      <c r="F160" s="53">
        <v>-2654377</v>
      </c>
      <c r="G160" s="53">
        <v>-13278784.15</v>
      </c>
      <c r="H160" s="53"/>
      <c r="I160" s="58">
        <v>15218878.199999999</v>
      </c>
      <c r="J160" s="53"/>
      <c r="K160" s="31">
        <v>-854680.06</v>
      </c>
      <c r="L160" s="31"/>
      <c r="M160" s="31"/>
      <c r="N160" s="31"/>
      <c r="O160" s="31"/>
      <c r="P160" s="31"/>
      <c r="Q160" s="31"/>
      <c r="R160" s="31">
        <v>2506344.6200943999</v>
      </c>
      <c r="S160" s="31">
        <v>49149268.719999999</v>
      </c>
      <c r="T160" s="31"/>
      <c r="U160" s="31"/>
      <c r="V160" s="31"/>
      <c r="W160" s="31">
        <v>50800933.2800944</v>
      </c>
    </row>
    <row r="161" spans="1:23" x14ac:dyDescent="0.35">
      <c r="A161" s="51" t="str">
        <f xml:space="preserve"> _xll.EPMOlapMemberO("[PRODUCT].[PARENTH1].[TBA]","","TBA - To be Allocated","","000")</f>
        <v>TBA - To be Allocated</v>
      </c>
      <c r="B161" s="53"/>
      <c r="C161" s="53"/>
      <c r="D161" s="53"/>
      <c r="E161" s="53"/>
      <c r="F161" s="53"/>
      <c r="G161" s="53"/>
      <c r="H161" s="53"/>
      <c r="I161" s="58"/>
      <c r="J161" s="53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</row>
    <row r="162" spans="1:23" x14ac:dyDescent="0.35">
      <c r="A162" s="46" t="str">
        <f xml:space="preserve"> _xll.EPMOlapMemberO("[PRODUCT].[PARENTH1].[DIA]","","DIA - Januvia","","000")</f>
        <v>DIA - Januvia</v>
      </c>
      <c r="B162" s="53"/>
      <c r="C162" s="53"/>
      <c r="D162" s="53"/>
      <c r="E162" s="53">
        <v>-639010.01</v>
      </c>
      <c r="F162" s="53">
        <v>-0.44</v>
      </c>
      <c r="G162" s="53">
        <v>-5523.19</v>
      </c>
      <c r="H162" s="53"/>
      <c r="I162" s="58"/>
      <c r="J162" s="53"/>
      <c r="K162" s="31">
        <v>-644533.64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-644533.64</v>
      </c>
    </row>
    <row r="163" spans="1:23" x14ac:dyDescent="0.35">
      <c r="A163" s="46" t="str">
        <f xml:space="preserve"> _xll.EPMOlapMemberO("[PRODUCT].[PARENTH1].[SBU]","","SBU - Sitagliptin Bulk","","000")</f>
        <v>SBU - Sitagliptin Bulk</v>
      </c>
      <c r="B163" s="53"/>
      <c r="C163" s="53"/>
      <c r="D163" s="53"/>
      <c r="E163" s="53">
        <v>652777.06999999995</v>
      </c>
      <c r="F163" s="53"/>
      <c r="G163" s="53">
        <v>5523.19</v>
      </c>
      <c r="H163" s="53"/>
      <c r="I163" s="58"/>
      <c r="J163" s="53"/>
      <c r="K163" s="31">
        <v>658300.26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>
        <v>658300.26</v>
      </c>
    </row>
    <row r="164" spans="1:23" x14ac:dyDescent="0.35">
      <c r="A164" s="46" t="str">
        <f xml:space="preserve"> _xll.EPMOlapMemberO("[PRODUCT].[PARENTH1].[DSM]","","DSM - Janumet IR ex - bulk","","000")</f>
        <v>DSM - Janumet IR ex - bulk</v>
      </c>
      <c r="B164" s="53"/>
      <c r="C164" s="53"/>
      <c r="D164" s="53"/>
      <c r="E164" s="53">
        <v>-375242.46</v>
      </c>
      <c r="F164" s="53">
        <v>0.23</v>
      </c>
      <c r="G164" s="53"/>
      <c r="H164" s="53"/>
      <c r="I164" s="58"/>
      <c r="J164" s="53"/>
      <c r="K164" s="31">
        <v>-375242.23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>
        <v>-375242.23</v>
      </c>
    </row>
    <row r="165" spans="1:23" x14ac:dyDescent="0.35">
      <c r="A165" s="46" t="str">
        <f xml:space="preserve"> _xll.EPMOlapMemberO("[PRODUCT].[PARENTH1].[MBU]","","MBU - Sitagliptin Metformin Bulk","","000")</f>
        <v>MBU - Sitagliptin Metformin Bulk</v>
      </c>
      <c r="B165" s="53"/>
      <c r="C165" s="53"/>
      <c r="D165" s="53"/>
      <c r="E165" s="53">
        <v>407644.33</v>
      </c>
      <c r="F165" s="53"/>
      <c r="G165" s="53"/>
      <c r="H165" s="53"/>
      <c r="I165" s="58"/>
      <c r="J165" s="53"/>
      <c r="K165" s="31">
        <v>407644.33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>
        <v>407644.33</v>
      </c>
    </row>
    <row r="166" spans="1:23" x14ac:dyDescent="0.35">
      <c r="A166" s="46" t="str">
        <f xml:space="preserve"> _xll.EPMOlapMemberO("[PRODUCT].[PARENTH1].[JXR]","","JXR - Janumet XR ex-bulk","","000")</f>
        <v>JXR - Janumet XR ex-bulk</v>
      </c>
      <c r="B166" s="53"/>
      <c r="C166" s="53"/>
      <c r="D166" s="53"/>
      <c r="E166" s="53">
        <v>-1269.49</v>
      </c>
      <c r="F166" s="53">
        <v>0</v>
      </c>
      <c r="G166" s="53"/>
      <c r="H166" s="53"/>
      <c r="I166" s="58"/>
      <c r="J166" s="53"/>
      <c r="K166" s="31">
        <v>-1269.49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>
        <v>-1269.49</v>
      </c>
    </row>
    <row r="167" spans="1:23" x14ac:dyDescent="0.35">
      <c r="A167" s="46" t="str">
        <f xml:space="preserve"> _xll.EPMOlapMemberO("[PRODUCT].[PARENTH1].[DMP]","","DMP - Stocrin","","000")</f>
        <v>DMP - Stocrin</v>
      </c>
      <c r="B167" s="53"/>
      <c r="C167" s="53"/>
      <c r="D167" s="53"/>
      <c r="E167" s="53"/>
      <c r="F167" s="53">
        <v>0.05</v>
      </c>
      <c r="G167" s="53"/>
      <c r="H167" s="53"/>
      <c r="I167" s="58"/>
      <c r="J167" s="53"/>
      <c r="K167" s="31">
        <v>0.05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>
        <v>0.05</v>
      </c>
    </row>
    <row r="168" spans="1:23" x14ac:dyDescent="0.35">
      <c r="A168" s="46" t="str">
        <f xml:space="preserve"> _xll.EPMOlapMemberO("[PRODUCT].[PARENTH1].[MFA]","","MFA - Isentress","","000")</f>
        <v>MFA - Isentress</v>
      </c>
      <c r="B168" s="53"/>
      <c r="C168" s="53"/>
      <c r="D168" s="53"/>
      <c r="E168" s="53"/>
      <c r="F168" s="53">
        <v>-0.49</v>
      </c>
      <c r="G168" s="53"/>
      <c r="H168" s="53"/>
      <c r="I168" s="58"/>
      <c r="J168" s="53"/>
      <c r="K168" s="31">
        <v>-0.49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>
        <v>-0.49</v>
      </c>
    </row>
    <row r="169" spans="1:23" x14ac:dyDescent="0.35">
      <c r="A169" s="46" t="str">
        <f xml:space="preserve"> _xll.EPMOlapMemberO("[PRODUCT].[PARENTH1].[XNA]","","XNA - Noxafil Tab","","000")</f>
        <v>XNA - Noxafil Tab</v>
      </c>
      <c r="B169" s="53"/>
      <c r="C169" s="53"/>
      <c r="D169" s="53"/>
      <c r="E169" s="53"/>
      <c r="F169" s="53">
        <v>13084.58</v>
      </c>
      <c r="G169" s="53">
        <v>0</v>
      </c>
      <c r="H169" s="53"/>
      <c r="I169" s="58"/>
      <c r="J169" s="53"/>
      <c r="K169" s="31">
        <v>13084.58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13084.58</v>
      </c>
    </row>
    <row r="170" spans="1:23" x14ac:dyDescent="0.35">
      <c r="A170" s="46" t="str">
        <f xml:space="preserve"> _xll.EPMOlapMemberO("[PRODUCT].[PARENTH1].[CAR]","","CAR - Invanz","","000")</f>
        <v>CAR - Invanz</v>
      </c>
      <c r="B170" s="53"/>
      <c r="C170" s="53"/>
      <c r="D170" s="53"/>
      <c r="E170" s="53">
        <v>10308.14</v>
      </c>
      <c r="F170" s="53"/>
      <c r="G170" s="53"/>
      <c r="H170" s="53"/>
      <c r="I170" s="58"/>
      <c r="J170" s="53"/>
      <c r="K170" s="31">
        <v>10308.14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>
        <v>10308.14</v>
      </c>
    </row>
    <row r="171" spans="1:23" x14ac:dyDescent="0.35">
      <c r="A171" s="46" t="str">
        <f xml:space="preserve"> _xll.EPMOlapMemberO("[PRODUCT].[PARENTH1].[TIX]","","TIX - Primaxin","","000")</f>
        <v>TIX - Primaxin</v>
      </c>
      <c r="B171" s="53"/>
      <c r="C171" s="53"/>
      <c r="D171" s="53"/>
      <c r="E171" s="53">
        <v>18978.03</v>
      </c>
      <c r="F171" s="53">
        <v>0.28000000000000003</v>
      </c>
      <c r="G171" s="53"/>
      <c r="H171" s="53"/>
      <c r="I171" s="58"/>
      <c r="J171" s="53"/>
      <c r="K171" s="31">
        <v>18978.310000000001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>
        <v>18978.310000000001</v>
      </c>
    </row>
    <row r="172" spans="1:23" x14ac:dyDescent="0.35">
      <c r="A172" s="46" t="str">
        <f xml:space="preserve"> _xll.EPMOlapMemberO("[PRODUCT].[PARENTH1].[XES]","","XES - Esmeron Zemuron","","000")</f>
        <v>XES - Esmeron Zemuron</v>
      </c>
      <c r="B172" s="53"/>
      <c r="C172" s="53"/>
      <c r="D172" s="53"/>
      <c r="E172" s="53">
        <v>-0.01</v>
      </c>
      <c r="F172" s="53">
        <v>26695.24</v>
      </c>
      <c r="G172" s="53">
        <v>-0.01</v>
      </c>
      <c r="H172" s="53"/>
      <c r="I172" s="58"/>
      <c r="J172" s="53"/>
      <c r="K172" s="31">
        <v>26695.22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>
        <v>26695.22</v>
      </c>
    </row>
    <row r="173" spans="1:23" x14ac:dyDescent="0.35">
      <c r="A173" s="46" t="str">
        <f xml:space="preserve"> _xll.EPMOlapMemberO("[PRODUCT].[PARENTH1].[XBR]","","XBR - Bridion","","000")</f>
        <v>XBR - Bridion</v>
      </c>
      <c r="B173" s="53"/>
      <c r="C173" s="53"/>
      <c r="D173" s="53"/>
      <c r="E173" s="53"/>
      <c r="F173" s="53">
        <v>0</v>
      </c>
      <c r="G173" s="53">
        <v>0</v>
      </c>
      <c r="H173" s="53"/>
      <c r="I173" s="58"/>
      <c r="J173" s="53"/>
      <c r="K173" s="31">
        <v>0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>
        <v>0</v>
      </c>
    </row>
    <row r="174" spans="1:23" x14ac:dyDescent="0.35">
      <c r="A174" s="46" t="str">
        <f xml:space="preserve"> _xll.EPMOlapMemberO("[PRODUCT].[PARENTH1].[XAB]","","XAB - Celestamine","","000")</f>
        <v>XAB - Celestamine</v>
      </c>
      <c r="B174" s="53"/>
      <c r="C174" s="53"/>
      <c r="D174" s="53"/>
      <c r="E174" s="53"/>
      <c r="F174" s="53">
        <v>-200.71</v>
      </c>
      <c r="G174" s="53"/>
      <c r="H174" s="53"/>
      <c r="I174" s="58"/>
      <c r="J174" s="53"/>
      <c r="K174" s="31">
        <v>-200.71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>
        <v>-200.71</v>
      </c>
    </row>
    <row r="175" spans="1:23" x14ac:dyDescent="0.35">
      <c r="A175" s="46" t="str">
        <f xml:space="preserve"> _xll.EPMOlapMemberO("[PRODUCT].[PARENTH1].[XAD]","","XAD - Andriol","","000")</f>
        <v>XAD - Andriol</v>
      </c>
      <c r="B175" s="53"/>
      <c r="C175" s="53"/>
      <c r="D175" s="53"/>
      <c r="E175" s="53"/>
      <c r="F175" s="53">
        <v>0</v>
      </c>
      <c r="G175" s="53">
        <v>-3989.79</v>
      </c>
      <c r="H175" s="53"/>
      <c r="I175" s="58"/>
      <c r="J175" s="53"/>
      <c r="K175" s="31">
        <v>-3989.79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>
        <v>-3989.79</v>
      </c>
    </row>
    <row r="176" spans="1:23" x14ac:dyDescent="0.35">
      <c r="A176" s="46" t="str">
        <f xml:space="preserve"> _xll.EPMOlapMemberO("[PRODUCT].[PARENTH1].[SUP]","","SUP - Emend CINV Oral","","000")</f>
        <v>SUP - Emend CINV Oral</v>
      </c>
      <c r="B176" s="53"/>
      <c r="C176" s="53"/>
      <c r="D176" s="53"/>
      <c r="E176" s="53">
        <v>-9015.25</v>
      </c>
      <c r="F176" s="53">
        <v>0.31</v>
      </c>
      <c r="G176" s="53"/>
      <c r="H176" s="53"/>
      <c r="I176" s="58"/>
      <c r="J176" s="53"/>
      <c r="K176" s="31">
        <v>-9014.94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>
        <v>-9014.94</v>
      </c>
    </row>
    <row r="177" spans="1:23" x14ac:dyDescent="0.35">
      <c r="A177" s="46" t="str">
        <f xml:space="preserve"> _xll.EPMOlapMemberO("[PRODUCT].[PARENTH1].[SUF]","","SUF - Emend - CINV IV","","000")</f>
        <v>SUF - Emend - CINV IV</v>
      </c>
      <c r="B177" s="53"/>
      <c r="C177" s="53"/>
      <c r="D177" s="53"/>
      <c r="E177" s="53">
        <v>-0.04</v>
      </c>
      <c r="F177" s="53"/>
      <c r="G177" s="53"/>
      <c r="H177" s="53"/>
      <c r="I177" s="58"/>
      <c r="J177" s="53"/>
      <c r="K177" s="31">
        <v>-0.04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>
        <v>-0.04</v>
      </c>
    </row>
    <row r="178" spans="1:23" x14ac:dyDescent="0.35">
      <c r="A178" s="46" t="str">
        <f xml:space="preserve"> _xll.EPMOlapMemberO("[PRODUCT].[PARENTH1].[ASO]","","ASO - Zolinza - CTCL","","000")</f>
        <v>ASO - Zolinza - CTCL</v>
      </c>
      <c r="B178" s="53"/>
      <c r="C178" s="53"/>
      <c r="D178" s="53"/>
      <c r="E178" s="53">
        <v>-0.01</v>
      </c>
      <c r="F178" s="53"/>
      <c r="G178" s="53"/>
      <c r="H178" s="53"/>
      <c r="I178" s="58"/>
      <c r="J178" s="53"/>
      <c r="K178" s="31">
        <v>-0.01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>
        <v>-0.01</v>
      </c>
    </row>
    <row r="179" spans="1:23" x14ac:dyDescent="0.35">
      <c r="A179" s="46" t="str">
        <f xml:space="preserve"> _xll.EPMOlapMemberO("[PRODUCT].[PARENTH1].[XOI]","","XOI - Onicit","","000")</f>
        <v>XOI - Onicit</v>
      </c>
      <c r="B179" s="53"/>
      <c r="C179" s="53"/>
      <c r="D179" s="53"/>
      <c r="E179" s="53">
        <v>9035.14</v>
      </c>
      <c r="F179" s="53"/>
      <c r="G179" s="53"/>
      <c r="H179" s="53"/>
      <c r="I179" s="58"/>
      <c r="J179" s="53"/>
      <c r="K179" s="31">
        <v>9035.14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>
        <v>9035.14</v>
      </c>
    </row>
    <row r="180" spans="1:23" x14ac:dyDescent="0.35">
      <c r="A180" s="46" t="str">
        <f xml:space="preserve"> _xll.EPMOlapMemberO("[PRODUCT].[PARENTH1].[XTB]","","XTB - Tice BCG","","000")</f>
        <v>XTB - Tice BCG</v>
      </c>
      <c r="B180" s="53"/>
      <c r="C180" s="53"/>
      <c r="D180" s="53"/>
      <c r="E180" s="53"/>
      <c r="F180" s="53"/>
      <c r="G180" s="53">
        <v>-0.01</v>
      </c>
      <c r="H180" s="53"/>
      <c r="I180" s="58"/>
      <c r="J180" s="53"/>
      <c r="K180" s="31">
        <v>-0.01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>
        <v>-0.01</v>
      </c>
    </row>
    <row r="181" spans="1:23" x14ac:dyDescent="0.35">
      <c r="A181" s="46" t="str">
        <f xml:space="preserve"> _xll.EPMOlapMemberO("[PRODUCT].[PARENTH1].[HPV]","","HPV - Gardasil","","000")</f>
        <v>HPV - Gardasil</v>
      </c>
      <c r="B181" s="53"/>
      <c r="C181" s="53"/>
      <c r="D181" s="53"/>
      <c r="E181" s="53">
        <v>0</v>
      </c>
      <c r="F181" s="53">
        <v>0</v>
      </c>
      <c r="G181" s="53"/>
      <c r="H181" s="53"/>
      <c r="I181" s="58"/>
      <c r="J181" s="53"/>
      <c r="K181" s="31">
        <v>0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>
        <v>0</v>
      </c>
    </row>
    <row r="182" spans="1:23" x14ac:dyDescent="0.35">
      <c r="A182" s="46" t="str">
        <f xml:space="preserve"> _xll.EPMOlapMemberO("[PRODUCT].[PARENTH1].[MMR]","","MMR - M-M-R II","","000")</f>
        <v>MMR - M-M-R II</v>
      </c>
      <c r="B182" s="53"/>
      <c r="C182" s="53"/>
      <c r="D182" s="53"/>
      <c r="E182" s="53">
        <v>0</v>
      </c>
      <c r="F182" s="53">
        <v>0</v>
      </c>
      <c r="G182" s="53"/>
      <c r="H182" s="53"/>
      <c r="I182" s="58"/>
      <c r="J182" s="53"/>
      <c r="K182" s="31">
        <v>0</v>
      </c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>
        <v>0</v>
      </c>
    </row>
    <row r="183" spans="1:23" x14ac:dyDescent="0.35">
      <c r="A183" s="46" t="str">
        <f xml:space="preserve"> _xll.EPMOlapMemberO("[PRODUCT].[PARENTH1].[VVX]","","VVX - Varivax","","000")</f>
        <v>VVX - Varivax</v>
      </c>
      <c r="B183" s="53"/>
      <c r="C183" s="53"/>
      <c r="D183" s="53"/>
      <c r="E183" s="53">
        <v>-3656.75</v>
      </c>
      <c r="F183" s="53">
        <v>-346.6</v>
      </c>
      <c r="G183" s="53"/>
      <c r="H183" s="53"/>
      <c r="I183" s="58"/>
      <c r="J183" s="53"/>
      <c r="K183" s="31">
        <v>-4003.35</v>
      </c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>
        <v>-4003.35</v>
      </c>
    </row>
    <row r="184" spans="1:23" x14ac:dyDescent="0.35">
      <c r="A184" s="46" t="str">
        <f xml:space="preserve"> _xll.EPMOlapMemberO("[PRODUCT].[PARENTH1].[HPA]","","HPA - Vaqta - Pediatric","","000")</f>
        <v>HPA - Vaqta - Pediatric</v>
      </c>
      <c r="B184" s="53"/>
      <c r="C184" s="53"/>
      <c r="D184" s="53"/>
      <c r="E184" s="53">
        <v>-0.01</v>
      </c>
      <c r="F184" s="53"/>
      <c r="G184" s="53"/>
      <c r="H184" s="53"/>
      <c r="I184" s="58"/>
      <c r="J184" s="53"/>
      <c r="K184" s="31">
        <v>-0.01</v>
      </c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>
        <v>-0.01</v>
      </c>
    </row>
    <row r="185" spans="1:23" x14ac:dyDescent="0.35">
      <c r="A185" s="46" t="str">
        <f xml:space="preserve"> _xll.EPMOlapMemberO("[PRODUCT].[PARENTH1].[HPD]","","HPD - Vaqta - Adult","","000")</f>
        <v>HPD - Vaqta - Adult</v>
      </c>
      <c r="B185" s="53"/>
      <c r="C185" s="53"/>
      <c r="D185" s="53"/>
      <c r="E185" s="53">
        <v>-0.84</v>
      </c>
      <c r="F185" s="53"/>
      <c r="G185" s="53"/>
      <c r="H185" s="53"/>
      <c r="I185" s="58"/>
      <c r="J185" s="53"/>
      <c r="K185" s="31">
        <v>-0.84</v>
      </c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>
        <v>-0.84</v>
      </c>
    </row>
    <row r="186" spans="1:23" x14ac:dyDescent="0.35">
      <c r="A186" s="46" t="str">
        <f xml:space="preserve"> _xll.EPMOlapMemberO("[PRODUCT].[PARENTH1].[HBR]","","HBR - Recombivax - HB Pediatric","","000")</f>
        <v>HBR - Recombivax - HB Pediatric</v>
      </c>
      <c r="B186" s="53"/>
      <c r="C186" s="53"/>
      <c r="D186" s="53"/>
      <c r="E186" s="53"/>
      <c r="F186" s="53"/>
      <c r="G186" s="53"/>
      <c r="H186" s="53"/>
      <c r="I186" s="58"/>
      <c r="J186" s="53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</row>
    <row r="187" spans="1:23" x14ac:dyDescent="0.35">
      <c r="A187" s="46" t="str">
        <f xml:space="preserve"> _xll.EPMOlapMemberO("[PRODUCT].[PARENTH1].[HBD]","","HBD - Recombivax HB - Adult","","000")</f>
        <v>HBD - Recombivax HB - Adult</v>
      </c>
      <c r="B187" s="53"/>
      <c r="C187" s="53"/>
      <c r="D187" s="53"/>
      <c r="E187" s="53"/>
      <c r="F187" s="53"/>
      <c r="G187" s="53"/>
      <c r="H187" s="53"/>
      <c r="I187" s="58"/>
      <c r="J187" s="53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</row>
    <row r="188" spans="1:23" x14ac:dyDescent="0.35">
      <c r="A188" s="46" t="str">
        <f xml:space="preserve"> _xll.EPMOlapMemberO("[PRODUCT].[PARENTH1].[PNX]","","PNX - Pneumovax 23","","000")</f>
        <v>PNX - Pneumovax 23</v>
      </c>
      <c r="B188" s="53"/>
      <c r="C188" s="53"/>
      <c r="D188" s="53"/>
      <c r="E188" s="53"/>
      <c r="F188" s="53">
        <v>0</v>
      </c>
      <c r="G188" s="53"/>
      <c r="H188" s="53"/>
      <c r="I188" s="58"/>
      <c r="J188" s="53"/>
      <c r="K188" s="31">
        <v>0</v>
      </c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>
        <v>0</v>
      </c>
    </row>
    <row r="189" spans="1:23" x14ac:dyDescent="0.35">
      <c r="A189" s="46" t="str">
        <f xml:space="preserve"> _xll.EPMOlapMemberO("[PRODUCT].[PARENTH1].[XBS]","","XBS - Chlor-Trimeton Tablets","","000")</f>
        <v>XBS - Chlor-Trimeton Tablets</v>
      </c>
      <c r="B189" s="53"/>
      <c r="C189" s="53"/>
      <c r="D189" s="53"/>
      <c r="E189" s="53"/>
      <c r="F189" s="53"/>
      <c r="G189" s="53"/>
      <c r="H189" s="53"/>
      <c r="I189" s="58"/>
      <c r="J189" s="53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</row>
    <row r="190" spans="1:23" x14ac:dyDescent="0.35">
      <c r="A190" s="46" t="str">
        <f xml:space="preserve"> _xll.EPMOlapMemberO("[PRODUCT].[PARENTH1].[XBN]","","XBN - Afrin Original","","000")</f>
        <v>XBN - Afrin Original</v>
      </c>
      <c r="B190" s="53"/>
      <c r="C190" s="53"/>
      <c r="D190" s="53"/>
      <c r="E190" s="53"/>
      <c r="F190" s="53"/>
      <c r="G190" s="53"/>
      <c r="H190" s="53"/>
      <c r="I190" s="58"/>
      <c r="J190" s="53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</row>
    <row r="191" spans="1:23" x14ac:dyDescent="0.35">
      <c r="A191" s="46" t="str">
        <f xml:space="preserve"> _xll.EPMOlapMemberO("[PRODUCT].[PARENTH1].[XMU]","","XMU - Biometrix","","000")</f>
        <v>XMU - Biometrix</v>
      </c>
      <c r="B191" s="53"/>
      <c r="C191" s="53"/>
      <c r="D191" s="53"/>
      <c r="E191" s="53"/>
      <c r="F191" s="53"/>
      <c r="G191" s="53"/>
      <c r="H191" s="53"/>
      <c r="I191" s="58"/>
      <c r="J191" s="53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</row>
    <row r="192" spans="1:23" x14ac:dyDescent="0.35">
      <c r="A192" s="46" t="str">
        <f xml:space="preserve"> _xll.EPMOlapMemberO("[PRODUCT].[PARENTH1].[ADC]","","ADC - Tredaptive","","000")</f>
        <v>ADC - Tredaptive</v>
      </c>
      <c r="B192" s="53"/>
      <c r="C192" s="53"/>
      <c r="D192" s="53"/>
      <c r="E192" s="53"/>
      <c r="F192" s="53"/>
      <c r="G192" s="53"/>
      <c r="H192" s="53"/>
      <c r="I192" s="58"/>
      <c r="J192" s="53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</row>
    <row r="193" spans="1:23" x14ac:dyDescent="0.35">
      <c r="A193" s="46" t="str">
        <f xml:space="preserve"> _xll.EPMOlapMemberO("[PRODUCT].[PARENTH1].[CSP]","","CSP - Cosopt PC","","000")</f>
        <v>CSP - Cosopt PC</v>
      </c>
      <c r="B193" s="53"/>
      <c r="C193" s="53"/>
      <c r="D193" s="53"/>
      <c r="E193" s="53"/>
      <c r="F193" s="53"/>
      <c r="G193" s="53">
        <v>-1456.37</v>
      </c>
      <c r="H193" s="53"/>
      <c r="I193" s="58"/>
      <c r="J193" s="53"/>
      <c r="K193" s="31">
        <v>-1456.37</v>
      </c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>
        <v>-1456.37</v>
      </c>
    </row>
    <row r="194" spans="1:23" x14ac:dyDescent="0.35">
      <c r="A194" s="46" t="str">
        <f xml:space="preserve"> _xll.EPMOlapMemberO("[PRODUCT].[PARENTH1].[CUB]","","CUB - Cubicin","","000")</f>
        <v>CUB - Cubicin</v>
      </c>
      <c r="B194" s="53"/>
      <c r="C194" s="53"/>
      <c r="D194" s="53"/>
      <c r="E194" s="53">
        <v>1473.1</v>
      </c>
      <c r="F194" s="53"/>
      <c r="G194" s="53"/>
      <c r="H194" s="53"/>
      <c r="I194" s="58"/>
      <c r="J194" s="53"/>
      <c r="K194" s="31">
        <v>1473.1</v>
      </c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>
        <v>1473.1</v>
      </c>
    </row>
    <row r="195" spans="1:23" x14ac:dyDescent="0.35">
      <c r="A195" s="46" t="str">
        <f xml:space="preserve"> _xll.EPMOlapMemberO("[PRODUCT].[PARENTH1].[CYT]","","CYT - Prevymis","","000")</f>
        <v>CYT - Prevymis</v>
      </c>
      <c r="B195" s="53"/>
      <c r="C195" s="53"/>
      <c r="D195" s="53"/>
      <c r="E195" s="53"/>
      <c r="F195" s="53"/>
      <c r="G195" s="53">
        <v>0</v>
      </c>
      <c r="H195" s="53"/>
      <c r="I195" s="58"/>
      <c r="J195" s="53"/>
      <c r="K195" s="31">
        <v>0</v>
      </c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>
        <v>0</v>
      </c>
    </row>
    <row r="196" spans="1:23" x14ac:dyDescent="0.35">
      <c r="A196" s="46" t="str">
        <f xml:space="preserve"> _xll.EPMOlapMemberO("[PRODUCT].[PARENTH1].[DOR]","","DOR - Pifeltro","","000")</f>
        <v>DOR - Pifeltro</v>
      </c>
      <c r="B196" s="53"/>
      <c r="C196" s="53"/>
      <c r="D196" s="53"/>
      <c r="E196" s="53"/>
      <c r="F196" s="53"/>
      <c r="G196" s="53"/>
      <c r="H196" s="53"/>
      <c r="I196" s="58"/>
      <c r="J196" s="53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 spans="1:23" x14ac:dyDescent="0.35">
      <c r="A197" s="46" t="str">
        <f xml:space="preserve"> _xll.EPMOlapMemberO("[PRODUCT].[PARENTH1].[DOV]","","DOV - Delstrigo","","000")</f>
        <v>DOV - Delstrigo</v>
      </c>
      <c r="B197" s="53"/>
      <c r="C197" s="53"/>
      <c r="D197" s="53"/>
      <c r="E197" s="53"/>
      <c r="F197" s="53">
        <v>-0.36</v>
      </c>
      <c r="G197" s="53"/>
      <c r="H197" s="53"/>
      <c r="I197" s="58"/>
      <c r="J197" s="53"/>
      <c r="K197" s="31">
        <v>-0.36</v>
      </c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>
        <v>-0.36</v>
      </c>
    </row>
    <row r="198" spans="1:23" x14ac:dyDescent="0.35">
      <c r="A198" s="46" t="str">
        <f xml:space="preserve"> _xll.EPMOlapMemberO("[PRODUCT].[PARENTH1].[ECH]","","ECH - Cancidas","","000")</f>
        <v>ECH - Cancidas</v>
      </c>
      <c r="B198" s="53"/>
      <c r="C198" s="53"/>
      <c r="D198" s="53"/>
      <c r="E198" s="53">
        <v>-25405.26</v>
      </c>
      <c r="F198" s="53"/>
      <c r="G198" s="53"/>
      <c r="H198" s="53"/>
      <c r="I198" s="58"/>
      <c r="J198" s="53"/>
      <c r="K198" s="31">
        <v>-25405.26</v>
      </c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>
        <v>-25405.26</v>
      </c>
    </row>
    <row r="199" spans="1:23" x14ac:dyDescent="0.35">
      <c r="A199" s="46" t="str">
        <f xml:space="preserve"> _xll.EPMOlapMemberO("[PRODUCT].[PARENTH1].[EMT]","","EMT - FDC - Segluromet","","000")</f>
        <v>EMT - FDC - Segluromet</v>
      </c>
      <c r="B199" s="53"/>
      <c r="C199" s="53"/>
      <c r="D199" s="53"/>
      <c r="E199" s="53"/>
      <c r="F199" s="53"/>
      <c r="G199" s="53"/>
      <c r="H199" s="53"/>
      <c r="I199" s="58"/>
      <c r="J199" s="53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</row>
    <row r="200" spans="1:23" x14ac:dyDescent="0.35">
      <c r="A200" s="46" t="str">
        <f xml:space="preserve"> _xll.EPMOlapMemberO("[PRODUCT].[PARENTH1].[ERT]","","ERT - Steglatro","","000")</f>
        <v>ERT - Steglatro</v>
      </c>
      <c r="B200" s="53"/>
      <c r="C200" s="53"/>
      <c r="D200" s="53"/>
      <c r="E200" s="53"/>
      <c r="F200" s="53"/>
      <c r="G200" s="53">
        <v>124778.41</v>
      </c>
      <c r="H200" s="53"/>
      <c r="I200" s="58"/>
      <c r="J200" s="53"/>
      <c r="K200" s="31">
        <v>124778.41</v>
      </c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>
        <v>124778.41</v>
      </c>
    </row>
    <row r="201" spans="1:23" x14ac:dyDescent="0.35">
      <c r="A201" s="46" t="str">
        <f xml:space="preserve"> _xll.EPMOlapMemberO("[PRODUCT].[PARENTH1].[EST]","","EST - FDC - Steglujan","","000")</f>
        <v>EST - FDC - Steglujan</v>
      </c>
      <c r="B201" s="53"/>
      <c r="C201" s="53"/>
      <c r="D201" s="53"/>
      <c r="E201" s="53"/>
      <c r="F201" s="53"/>
      <c r="G201" s="53">
        <v>0.01</v>
      </c>
      <c r="H201" s="53"/>
      <c r="I201" s="58"/>
      <c r="J201" s="53"/>
      <c r="K201" s="31">
        <v>0.01</v>
      </c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>
        <v>0.01</v>
      </c>
    </row>
    <row r="202" spans="1:23" x14ac:dyDescent="0.35">
      <c r="A202" s="46" t="str">
        <f xml:space="preserve"> _xll.EPMOlapMemberO("[PRODUCT].[PARENTH1].[MKB]","","MKB - Trusopt","","000")</f>
        <v>MKB - Trusopt</v>
      </c>
      <c r="B202" s="53"/>
      <c r="C202" s="53"/>
      <c r="D202" s="53"/>
      <c r="E202" s="53"/>
      <c r="F202" s="53"/>
      <c r="G202" s="53">
        <v>-136.01</v>
      </c>
      <c r="H202" s="53"/>
      <c r="I202" s="58"/>
      <c r="J202" s="53"/>
      <c r="K202" s="31">
        <v>-136.01</v>
      </c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>
        <v>-136.01</v>
      </c>
    </row>
    <row r="203" spans="1:23" x14ac:dyDescent="0.35">
      <c r="A203" s="46" t="str">
        <f xml:space="preserve"> _xll.EPMOlapMemberO("[PRODUCT].[PARENTH1].[OHE]","","OHE - Zepatier","","000")</f>
        <v>OHE - Zepatier</v>
      </c>
      <c r="B203" s="53"/>
      <c r="C203" s="53"/>
      <c r="D203" s="53"/>
      <c r="E203" s="53"/>
      <c r="F203" s="53">
        <v>0</v>
      </c>
      <c r="G203" s="53">
        <v>0.02</v>
      </c>
      <c r="H203" s="53"/>
      <c r="I203" s="58"/>
      <c r="J203" s="53"/>
      <c r="K203" s="31">
        <v>0.02</v>
      </c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>
        <v>0.02</v>
      </c>
    </row>
    <row r="204" spans="1:23" x14ac:dyDescent="0.35">
      <c r="A204" s="46" t="str">
        <f xml:space="preserve"> _xll.EPMOlapMemberO("[PRODUCT].[PARENTH1].[OID]","","OID - Zinplava","","000")</f>
        <v>OID - Zinplava</v>
      </c>
      <c r="B204" s="53"/>
      <c r="C204" s="53"/>
      <c r="D204" s="53"/>
      <c r="E204" s="53"/>
      <c r="F204" s="53"/>
      <c r="G204" s="53">
        <v>0</v>
      </c>
      <c r="H204" s="53"/>
      <c r="I204" s="58"/>
      <c r="J204" s="53"/>
      <c r="K204" s="31">
        <v>0</v>
      </c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>
        <v>0</v>
      </c>
    </row>
    <row r="205" spans="1:23" x14ac:dyDescent="0.35">
      <c r="A205" s="46" t="str">
        <f xml:space="preserve"> _xll.EPMOlapMemberO("[PRODUCT].[PARENTH1].[PEH]","","PEH - Third Party Products","","000")</f>
        <v>PEH - Third Party Products</v>
      </c>
      <c r="B205" s="53"/>
      <c r="C205" s="53"/>
      <c r="D205" s="53"/>
      <c r="E205" s="53"/>
      <c r="F205" s="53">
        <v>426988</v>
      </c>
      <c r="G205" s="53">
        <v>-430.48</v>
      </c>
      <c r="H205" s="53"/>
      <c r="I205" s="58"/>
      <c r="J205" s="53"/>
      <c r="K205" s="31">
        <v>426557.52</v>
      </c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>
        <v>426557.52</v>
      </c>
    </row>
    <row r="206" spans="1:23" x14ac:dyDescent="0.35">
      <c r="A206" s="46" t="str">
        <f xml:space="preserve"> _xll.EPMOlapMemberO("[PRODUCT].[PARENTH1].[PHN]","","PHN - Zostavax","","000")</f>
        <v>PHN - Zostavax</v>
      </c>
      <c r="B206" s="53"/>
      <c r="C206" s="53"/>
      <c r="D206" s="53"/>
      <c r="E206" s="53">
        <v>-916.78</v>
      </c>
      <c r="F206" s="53"/>
      <c r="G206" s="53"/>
      <c r="H206" s="53"/>
      <c r="I206" s="58"/>
      <c r="J206" s="53"/>
      <c r="K206" s="31">
        <v>-916.78</v>
      </c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>
        <v>-916.78</v>
      </c>
    </row>
    <row r="207" spans="1:23" x14ac:dyDescent="0.35">
      <c r="A207" s="46" t="str">
        <f xml:space="preserve"> _xll.EPMOlapMemberO("[PRODUCT].[PARENTH1].[PRD]","","PRD - Prinzide","","000")</f>
        <v>PRD - Prinzide</v>
      </c>
      <c r="B207" s="53"/>
      <c r="C207" s="53"/>
      <c r="D207" s="53"/>
      <c r="E207" s="53"/>
      <c r="F207" s="53"/>
      <c r="G207" s="53"/>
      <c r="H207" s="53"/>
      <c r="I207" s="58"/>
      <c r="J207" s="53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</row>
    <row r="208" spans="1:23" x14ac:dyDescent="0.35">
      <c r="A208" s="46" t="str">
        <f xml:space="preserve"> _xll.EPMOlapMemberO("[PRODUCT].[PARENTH1].[QDX]","","QDX - ProQuad","","000")</f>
        <v>QDX - ProQuad</v>
      </c>
      <c r="B208" s="53"/>
      <c r="C208" s="53"/>
      <c r="D208" s="53"/>
      <c r="E208" s="53">
        <v>0</v>
      </c>
      <c r="F208" s="53"/>
      <c r="G208" s="53"/>
      <c r="H208" s="53"/>
      <c r="I208" s="58"/>
      <c r="J208" s="53"/>
      <c r="K208" s="31">
        <v>0</v>
      </c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>
        <v>0</v>
      </c>
    </row>
    <row r="209" spans="1:23" x14ac:dyDescent="0.35">
      <c r="A209" s="46" t="str">
        <f xml:space="preserve"> _xll.EPMOlapMemberO("[PRODUCT].[PARENTH1].[SIV]","","SIV - Sivextro","","000")</f>
        <v>SIV - Sivextro</v>
      </c>
      <c r="B209" s="53"/>
      <c r="C209" s="53"/>
      <c r="D209" s="53"/>
      <c r="E209" s="53">
        <v>-15277.32</v>
      </c>
      <c r="F209" s="53"/>
      <c r="G209" s="53"/>
      <c r="H209" s="53"/>
      <c r="I209" s="58"/>
      <c r="J209" s="53"/>
      <c r="K209" s="31">
        <v>-15277.32</v>
      </c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>
        <v>-15277.32</v>
      </c>
    </row>
    <row r="210" spans="1:23" x14ac:dyDescent="0.35">
      <c r="A210" s="46" t="str">
        <f xml:space="preserve"> _xll.EPMOlapMemberO("[PRODUCT].[PARENTH1].[TAF]","","TAF - Saflutan","","000")</f>
        <v>TAF - Saflutan</v>
      </c>
      <c r="B210" s="53"/>
      <c r="C210" s="53"/>
      <c r="D210" s="53"/>
      <c r="E210" s="53"/>
      <c r="F210" s="53"/>
      <c r="G210" s="53"/>
      <c r="H210" s="53"/>
      <c r="I210" s="58"/>
      <c r="J210" s="53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</row>
    <row r="211" spans="1:23" x14ac:dyDescent="0.35">
      <c r="A211" s="46" t="str">
        <f xml:space="preserve"> _xll.EPMOlapMemberO("[PRODUCT].[PARENTH1].[TIM]","","TIM - Timoptic Timpilo","","000")</f>
        <v>TIM - Timoptic Timpilo</v>
      </c>
      <c r="B211" s="53"/>
      <c r="C211" s="53"/>
      <c r="D211" s="53"/>
      <c r="E211" s="53"/>
      <c r="F211" s="53"/>
      <c r="G211" s="53"/>
      <c r="H211" s="53"/>
      <c r="I211" s="58"/>
      <c r="J211" s="53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</row>
    <row r="212" spans="1:23" x14ac:dyDescent="0.35">
      <c r="A212" s="46" t="str">
        <f xml:space="preserve"> _xll.EPMOlapMemberO("[PRODUCT].[PARENTH1].[TXE]","","TXE - Timoptic XE","","000")</f>
        <v>TXE - Timoptic XE</v>
      </c>
      <c r="B212" s="53"/>
      <c r="C212" s="53"/>
      <c r="D212" s="53"/>
      <c r="E212" s="53"/>
      <c r="F212" s="53"/>
      <c r="G212" s="53">
        <v>-2751.18</v>
      </c>
      <c r="H212" s="53"/>
      <c r="I212" s="58"/>
      <c r="J212" s="53"/>
      <c r="K212" s="31">
        <v>-2751.18</v>
      </c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>
        <v>-2751.18</v>
      </c>
    </row>
    <row r="213" spans="1:23" x14ac:dyDescent="0.35">
      <c r="A213" s="46" t="str">
        <f xml:space="preserve"> _xll.EPMOlapMemberO("[PRODUCT].[PARENTH1].[VKL]","","VKL - Brinavess","","000")</f>
        <v>VKL - Brinavess</v>
      </c>
      <c r="B213" s="53"/>
      <c r="C213" s="53"/>
      <c r="D213" s="53"/>
      <c r="E213" s="53"/>
      <c r="F213" s="53"/>
      <c r="G213" s="53"/>
      <c r="H213" s="53"/>
      <c r="I213" s="58"/>
      <c r="J213" s="53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</row>
    <row r="214" spans="1:23" x14ac:dyDescent="0.35">
      <c r="A214" s="46" t="str">
        <f xml:space="preserve"> _xll.EPMOlapMemberO("[PRODUCT].[PARENTH1].[XBO]","","XBO - Victrelis","","000")</f>
        <v>XBO - Victrelis</v>
      </c>
      <c r="B214" s="53"/>
      <c r="C214" s="53"/>
      <c r="D214" s="53"/>
      <c r="E214" s="53"/>
      <c r="F214" s="53"/>
      <c r="G214" s="53"/>
      <c r="H214" s="53"/>
      <c r="I214" s="58"/>
      <c r="J214" s="53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</row>
    <row r="215" spans="1:23" x14ac:dyDescent="0.35">
      <c r="A215" s="46" t="str">
        <f xml:space="preserve"> _xll.EPMOlapMemberO("[PRODUCT].[PARENTH1].[XIE]","","XIE - Subutex Suboxone","","000")</f>
        <v>XIE - Subutex Suboxone</v>
      </c>
      <c r="B215" s="53"/>
      <c r="C215" s="53"/>
      <c r="D215" s="53"/>
      <c r="E215" s="53"/>
      <c r="F215" s="53"/>
      <c r="G215" s="53"/>
      <c r="H215" s="53"/>
      <c r="I215" s="58"/>
      <c r="J215" s="53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</row>
    <row r="216" spans="1:23" x14ac:dyDescent="0.35">
      <c r="A216" s="46" t="str">
        <f xml:space="preserve"> _xll.EPMOlapMemberO("[PRODUCT].[PARENTH1].[XNO]","","XNO - Nitro Dur","","000")</f>
        <v>XNO - Nitro Dur</v>
      </c>
      <c r="B216" s="53"/>
      <c r="C216" s="53"/>
      <c r="D216" s="53"/>
      <c r="E216" s="53"/>
      <c r="F216" s="53"/>
      <c r="G216" s="53"/>
      <c r="H216" s="53"/>
      <c r="I216" s="58"/>
      <c r="J216" s="53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</row>
    <row r="217" spans="1:23" x14ac:dyDescent="0.35">
      <c r="A217" s="46" t="str">
        <f xml:space="preserve"> _xll.EPMOlapMemberO("[PRODUCT].[PARENTH1].[XNR]","","XNR - Norcuron","","000")</f>
        <v>XNR - Norcuron</v>
      </c>
      <c r="B217" s="53"/>
      <c r="C217" s="53"/>
      <c r="D217" s="53"/>
      <c r="E217" s="53"/>
      <c r="F217" s="53"/>
      <c r="G217" s="53"/>
      <c r="H217" s="53"/>
      <c r="I217" s="58"/>
      <c r="J217" s="53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</row>
    <row r="218" spans="1:23" x14ac:dyDescent="0.35">
      <c r="A218" s="46" t="str">
        <f xml:space="preserve"> _xll.EPMOlapMemberO("[PRODUCT].[PARENTH1].[XOA]","","XOA - Zoely","","000")</f>
        <v>XOA - Zoely</v>
      </c>
      <c r="B218" s="53"/>
      <c r="C218" s="53"/>
      <c r="D218" s="53"/>
      <c r="E218" s="53">
        <v>-99507.35</v>
      </c>
      <c r="F218" s="53"/>
      <c r="G218" s="53"/>
      <c r="H218" s="53"/>
      <c r="I218" s="58"/>
      <c r="J218" s="53"/>
      <c r="K218" s="31">
        <v>-99507.35</v>
      </c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>
        <v>-99507.35</v>
      </c>
    </row>
    <row r="219" spans="1:23" x14ac:dyDescent="0.35">
      <c r="A219" s="46" t="str">
        <f xml:space="preserve"> _xll.EPMOlapMemberO("[PRODUCT].[PARENTH1].[XOR]","","XOR - Orgaran","","000")</f>
        <v>XOR - Orgaran</v>
      </c>
      <c r="B219" s="53"/>
      <c r="C219" s="53"/>
      <c r="D219" s="53"/>
      <c r="E219" s="53"/>
      <c r="F219" s="53"/>
      <c r="G219" s="53"/>
      <c r="H219" s="53"/>
      <c r="I219" s="58"/>
      <c r="J219" s="53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</row>
    <row r="220" spans="1:23" x14ac:dyDescent="0.35">
      <c r="A220" s="46" t="str">
        <f xml:space="preserve"> _xll.EPMOlapMemberO("[PRODUCT].[PARENTH1].[XXA]","","XXA - Temodar","","000")</f>
        <v>XXA - Temodar</v>
      </c>
      <c r="B220" s="53"/>
      <c r="C220" s="53"/>
      <c r="D220" s="53"/>
      <c r="E220" s="53">
        <v>0</v>
      </c>
      <c r="F220" s="53">
        <v>-393.43</v>
      </c>
      <c r="G220" s="53">
        <v>-4181.16</v>
      </c>
      <c r="H220" s="53"/>
      <c r="I220" s="58"/>
      <c r="J220" s="53"/>
      <c r="K220" s="31">
        <v>-4574.59</v>
      </c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>
        <v>-4574.59</v>
      </c>
    </row>
    <row r="221" spans="1:23" x14ac:dyDescent="0.35">
      <c r="A221" s="46" t="str">
        <f xml:space="preserve"> _xll.EPMOlapMemberO("[PRODUCT].[PARENTH1].[ZER]","","ZER - Zerbaxa","","000")</f>
        <v>ZER - Zerbaxa</v>
      </c>
      <c r="B221" s="53"/>
      <c r="C221" s="53"/>
      <c r="D221" s="53"/>
      <c r="E221" s="53">
        <v>-3502.09</v>
      </c>
      <c r="F221" s="53"/>
      <c r="G221" s="53"/>
      <c r="H221" s="53"/>
      <c r="I221" s="58"/>
      <c r="J221" s="53"/>
      <c r="K221" s="31">
        <v>-3502.09</v>
      </c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>
        <v>-3502.09</v>
      </c>
    </row>
    <row r="222" spans="1:23" x14ac:dyDescent="0.35">
      <c r="A222" s="46" t="str">
        <f xml:space="preserve"> _xll.EPMOlapMemberO("[PRODUCT].[PARENTH1].[ADE]","","ADE - Adempas","","000")</f>
        <v>ADE - Adempas</v>
      </c>
      <c r="B222" s="53"/>
      <c r="C222" s="53"/>
      <c r="D222" s="53"/>
      <c r="E222" s="53"/>
      <c r="F222" s="53"/>
      <c r="G222" s="53"/>
      <c r="H222" s="53"/>
      <c r="I222" s="58"/>
      <c r="J222" s="53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</row>
    <row r="223" spans="1:23" x14ac:dyDescent="0.35">
      <c r="A223" s="46" t="str">
        <f xml:space="preserve"> _xll.EPMOlapMemberO("[PRODUCT].[PARENTH1].[XGE]","","XGE - Noxafil OS","","000")</f>
        <v>XGE - Noxafil OS</v>
      </c>
      <c r="B223" s="53"/>
      <c r="C223" s="53"/>
      <c r="D223" s="53"/>
      <c r="E223" s="53">
        <v>-3441.05</v>
      </c>
      <c r="F223" s="53">
        <v>40844.036271999998</v>
      </c>
      <c r="G223" s="53">
        <v>23324.99</v>
      </c>
      <c r="H223" s="53"/>
      <c r="I223" s="58"/>
      <c r="J223" s="53"/>
      <c r="K223" s="31">
        <v>60727.976272</v>
      </c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>
        <v>60727.976272</v>
      </c>
    </row>
    <row r="224" spans="1:23" x14ac:dyDescent="0.35">
      <c r="A224" s="46" t="str">
        <f xml:space="preserve"> _xll.EPMOlapMemberO("[PRODUCT].[PARENTH1].[XJO]","","XJO - Rebetol","","000")</f>
        <v>XJO - Rebetol</v>
      </c>
      <c r="B224" s="53"/>
      <c r="C224" s="53"/>
      <c r="D224" s="53"/>
      <c r="E224" s="53"/>
      <c r="F224" s="53"/>
      <c r="G224" s="53"/>
      <c r="H224" s="53"/>
      <c r="I224" s="58"/>
      <c r="J224" s="53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</row>
    <row r="225" spans="1:23" x14ac:dyDescent="0.35">
      <c r="A225" s="46" t="str">
        <f xml:space="preserve"> _xll.EPMOlapMemberO("[PRODUCT].[PARENTH1].[XJD]","","XJD - Pegintron","","000")</f>
        <v>XJD - Pegintron</v>
      </c>
      <c r="B225" s="53"/>
      <c r="C225" s="53"/>
      <c r="D225" s="53"/>
      <c r="E225" s="53"/>
      <c r="F225" s="53"/>
      <c r="G225" s="53"/>
      <c r="H225" s="53"/>
      <c r="I225" s="58"/>
      <c r="J225" s="53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</row>
    <row r="226" spans="1:23" x14ac:dyDescent="0.35">
      <c r="A226" s="46" t="str">
        <f xml:space="preserve"> _xll.EPMOlapMemberO("[PRODUCT].[PARENTH1].[XXI]","","XXI - Simponi 50MG","","000")</f>
        <v>XXI - Simponi 50MG</v>
      </c>
      <c r="B226" s="53"/>
      <c r="C226" s="53"/>
      <c r="D226" s="53"/>
      <c r="E226" s="53"/>
      <c r="F226" s="53"/>
      <c r="G226" s="53"/>
      <c r="H226" s="53"/>
      <c r="I226" s="58"/>
      <c r="J226" s="53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</row>
    <row r="227" spans="1:23" x14ac:dyDescent="0.35">
      <c r="A227" s="46" t="str">
        <f xml:space="preserve"> _xll.EPMOlapMemberO("[PRODUCT].[PARENTH1].[XXN]","","XXN - Remicade","","000")</f>
        <v>XXN - Remicade</v>
      </c>
      <c r="B227" s="53"/>
      <c r="C227" s="53"/>
      <c r="D227" s="53"/>
      <c r="E227" s="53"/>
      <c r="F227" s="53"/>
      <c r="G227" s="53">
        <v>-0.01</v>
      </c>
      <c r="H227" s="53"/>
      <c r="I227" s="58"/>
      <c r="J227" s="53"/>
      <c r="K227" s="31">
        <v>-0.01</v>
      </c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>
        <v>-0.01</v>
      </c>
    </row>
    <row r="228" spans="1:23" x14ac:dyDescent="0.35">
      <c r="A228" s="46" t="str">
        <f xml:space="preserve"> _xll.EPMOlapMemberO("[PRODUCT].[PARENTH1].[XTG]","","XTG - Temgesic","","000")</f>
        <v>XTG - Temgesic</v>
      </c>
      <c r="B228" s="53"/>
      <c r="C228" s="53"/>
      <c r="D228" s="53"/>
      <c r="E228" s="53">
        <v>-181.91</v>
      </c>
      <c r="F228" s="53"/>
      <c r="G228" s="53"/>
      <c r="H228" s="53"/>
      <c r="I228" s="58"/>
      <c r="J228" s="53"/>
      <c r="K228" s="31">
        <v>-181.91</v>
      </c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>
        <v>-181.91</v>
      </c>
    </row>
    <row r="229" spans="1:23" x14ac:dyDescent="0.35">
      <c r="A229" s="46" t="str">
        <f xml:space="preserve"> _xll.EPMOlapMemberO("[PRODUCT].[PARENTH1].[MOD]","","MOD - Moduretic","","000")</f>
        <v>MOD - Moduretic</v>
      </c>
      <c r="B229" s="53"/>
      <c r="C229" s="53"/>
      <c r="D229" s="53"/>
      <c r="E229" s="53"/>
      <c r="F229" s="53"/>
      <c r="G229" s="53"/>
      <c r="H229" s="53"/>
      <c r="I229" s="58"/>
      <c r="J229" s="53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</row>
    <row r="230" spans="1:23" x14ac:dyDescent="0.35">
      <c r="A230" s="46" t="str">
        <f xml:space="preserve"> _xll.EPMOlapMemberO("[PRODUCT].[PARENTH1].[XDR]","","XDR - Deca Durabolin","","000")</f>
        <v>XDR - Deca Durabolin</v>
      </c>
      <c r="B230" s="53"/>
      <c r="C230" s="53"/>
      <c r="D230" s="53"/>
      <c r="E230" s="53"/>
      <c r="F230" s="53">
        <v>-128.6685401</v>
      </c>
      <c r="G230" s="53"/>
      <c r="H230" s="53"/>
      <c r="I230" s="58"/>
      <c r="J230" s="53"/>
      <c r="K230" s="31">
        <v>-128.6685401</v>
      </c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>
        <v>-128.6685401</v>
      </c>
    </row>
    <row r="231" spans="1:23" x14ac:dyDescent="0.35">
      <c r="A231" s="46" t="str">
        <f xml:space="preserve"> _xll.EPMOlapMemberO("[PRODUCT].[PARENTH1].[XCD]","","XCD - Cedax","","000")</f>
        <v>XCD - Cedax</v>
      </c>
      <c r="B231" s="53"/>
      <c r="C231" s="53"/>
      <c r="D231" s="53"/>
      <c r="E231" s="53"/>
      <c r="F231" s="53"/>
      <c r="G231" s="53"/>
      <c r="H231" s="53"/>
      <c r="I231" s="58"/>
      <c r="J231" s="53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</row>
    <row r="232" spans="1:23" x14ac:dyDescent="0.35">
      <c r="A232" s="46" t="str">
        <f xml:space="preserve"> _xll.EPMOlapMemberO("[PRODUCT].[PARENTH1].[XJB]","","XJB - Intron A","","000")</f>
        <v>XJB - Intron A</v>
      </c>
      <c r="B232" s="53"/>
      <c r="C232" s="53"/>
      <c r="D232" s="53"/>
      <c r="E232" s="53"/>
      <c r="F232" s="53"/>
      <c r="G232" s="53">
        <v>-744.75</v>
      </c>
      <c r="H232" s="53"/>
      <c r="I232" s="58"/>
      <c r="J232" s="53"/>
      <c r="K232" s="31">
        <v>-744.75</v>
      </c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>
        <v>-744.75</v>
      </c>
    </row>
    <row r="233" spans="1:23" x14ac:dyDescent="0.35">
      <c r="A233" s="46" t="str">
        <f xml:space="preserve"> _xll.EPMOlapMemberO("[PRODUCT].[PARENTH1].[OOC]","","OOC - Keytruda - Met. Melanoma","","000")</f>
        <v>OOC - Keytruda - Met. Melanoma</v>
      </c>
      <c r="B233" s="53"/>
      <c r="C233" s="53"/>
      <c r="D233" s="53"/>
      <c r="E233" s="53">
        <v>18899.95</v>
      </c>
      <c r="F233" s="53">
        <v>131.88999999999999</v>
      </c>
      <c r="G233" s="53">
        <v>0</v>
      </c>
      <c r="H233" s="53"/>
      <c r="I233" s="58"/>
      <c r="J233" s="53"/>
      <c r="K233" s="31">
        <v>19031.84</v>
      </c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>
        <v>19031.84</v>
      </c>
    </row>
    <row r="234" spans="1:23" x14ac:dyDescent="0.35">
      <c r="A234" s="46" t="str">
        <f xml:space="preserve"> _xll.EPMOlapMemberO("[PRODUCT].[PARENTH1].[GSL]","","GSL - Gardasil 9","","000")</f>
        <v>GSL - Gardasil 9</v>
      </c>
      <c r="B234" s="53"/>
      <c r="C234" s="53"/>
      <c r="D234" s="53"/>
      <c r="E234" s="53"/>
      <c r="F234" s="53"/>
      <c r="G234" s="53"/>
      <c r="H234" s="53"/>
      <c r="I234" s="58"/>
      <c r="J234" s="53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</row>
    <row r="235" spans="1:23" x14ac:dyDescent="0.35">
      <c r="A235" s="46" t="str">
        <f xml:space="preserve"> _xll.EPMOlapMemberO("[PRODUCT].[PARENTH1].[DEX]","","DEX - Dexamethasone","","000")</f>
        <v>DEX - Dexamethasone</v>
      </c>
      <c r="B235" s="53"/>
      <c r="C235" s="53"/>
      <c r="D235" s="53"/>
      <c r="E235" s="53"/>
      <c r="F235" s="53"/>
      <c r="G235" s="53"/>
      <c r="H235" s="53"/>
      <c r="I235" s="58"/>
      <c r="J235" s="53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</row>
    <row r="236" spans="1:23" x14ac:dyDescent="0.35">
      <c r="A236" s="46" t="str">
        <f xml:space="preserve"> _xll.EPMOlapMemberO("[PRODUCT].[PARENTH1].[XHC]","","XHC - Ovestin","","000")</f>
        <v>XHC - Ovestin</v>
      </c>
      <c r="B236" s="53"/>
      <c r="C236" s="53"/>
      <c r="D236" s="53"/>
      <c r="E236" s="53"/>
      <c r="F236" s="53"/>
      <c r="G236" s="53"/>
      <c r="H236" s="53"/>
      <c r="I236" s="58"/>
      <c r="J236" s="53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</row>
    <row r="237" spans="1:23" x14ac:dyDescent="0.35">
      <c r="A237" s="46" t="str">
        <f xml:space="preserve"> _xll.EPMOlapMemberO("[PRODUCT].[PARENTH1].[XFI]","","XFI - Integrilin","","000")</f>
        <v>XFI - Integrilin</v>
      </c>
      <c r="B237" s="53"/>
      <c r="C237" s="53"/>
      <c r="D237" s="53"/>
      <c r="E237" s="53">
        <v>0</v>
      </c>
      <c r="F237" s="53"/>
      <c r="G237" s="53">
        <v>-0.01</v>
      </c>
      <c r="H237" s="53"/>
      <c r="I237" s="58"/>
      <c r="J237" s="53"/>
      <c r="K237" s="31">
        <v>-0.01</v>
      </c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>
        <v>-0.01</v>
      </c>
    </row>
    <row r="238" spans="1:23" x14ac:dyDescent="0.35">
      <c r="A238" s="51" t="str">
        <f xml:space="preserve"> _xll.EPMOlapMemberO("[PRODUCT].[PARENTH1].[MRK_TOT]","","MRK_TOT - Merck Products","","000")</f>
        <v>MRK_TOT - Merck Products</v>
      </c>
      <c r="B238" s="53"/>
      <c r="C238" s="53"/>
      <c r="D238" s="53"/>
      <c r="E238" s="53">
        <v>-57310.87</v>
      </c>
      <c r="F238" s="53">
        <v>506673.9177319</v>
      </c>
      <c r="G238" s="53">
        <v>134413.65</v>
      </c>
      <c r="H238" s="53"/>
      <c r="I238" s="58"/>
      <c r="J238" s="53"/>
      <c r="K238" s="31">
        <v>583776.69773190003</v>
      </c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>
        <v>583776.69773190003</v>
      </c>
    </row>
    <row r="239" spans="1:23" x14ac:dyDescent="0.35">
      <c r="A239" s="42" t="str">
        <f xml:space="preserve"> _xll.EPMOlapMemberO("[PRODUCT].[PARENTH1].[PRODUCT]","","PRODUCT - Total NewCo Products","","000")</f>
        <v>PRODUCT - Total NewCo Products</v>
      </c>
      <c r="B239" s="53"/>
      <c r="C239" s="53">
        <v>345527822.63999999</v>
      </c>
      <c r="D239" s="53">
        <v>251613897.44999999</v>
      </c>
      <c r="E239" s="53">
        <v>238183065.77000001</v>
      </c>
      <c r="F239" s="53">
        <v>286927803.10904253</v>
      </c>
      <c r="G239" s="53">
        <v>410199318.73000002</v>
      </c>
      <c r="H239" s="53"/>
      <c r="I239" s="58">
        <v>15529247.800000001</v>
      </c>
      <c r="J239" s="53"/>
      <c r="K239" s="31">
        <v>1547981155.4990425</v>
      </c>
      <c r="L239" s="31"/>
      <c r="M239" s="31"/>
      <c r="N239" s="31"/>
      <c r="O239" s="31"/>
      <c r="P239" s="31"/>
      <c r="Q239" s="31"/>
      <c r="R239" s="31">
        <v>2506344.6200943999</v>
      </c>
      <c r="S239" s="31">
        <v>49149268.719999999</v>
      </c>
      <c r="T239" s="31"/>
      <c r="U239" s="31"/>
      <c r="V239" s="31"/>
      <c r="W239" s="31">
        <v>1599636768.8391368</v>
      </c>
    </row>
    <row r="246" spans="12:12" x14ac:dyDescent="0.35">
      <c r="L246" s="57"/>
    </row>
  </sheetData>
  <pageMargins left="0.7" right="0.7" top="0.75" bottom="0.75" header="0.3" footer="0.3"/>
  <pageSetup paperSize="9" orientation="portrait" r:id="rId1"/>
  <headerFooter>
    <oddHeader>&amp;L&amp;"Calibri"&amp;12&amp;K00B294[Organon] Proprietary&amp;1#</oddHead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7169" r:id="rId5" name="FPMExcelClientSheetOptions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69" r:id="rId5" name="FPMExcelClientSheetOptionstb1"/>
      </mc:Fallback>
    </mc:AlternateContent>
    <mc:AlternateContent xmlns:mc="http://schemas.openxmlformats.org/markup-compatibility/2006">
      <mc:Choice Requires="x14">
        <control shapeId="7170" r:id="rId7" name="ConnectionDescriptorsInfo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0" r:id="rId7" name="ConnectionDescriptorsInfotb1"/>
      </mc:Fallback>
    </mc:AlternateContent>
    <mc:AlternateContent xmlns:mc="http://schemas.openxmlformats.org/markup-compatibility/2006">
      <mc:Choice Requires="x14">
        <control shapeId="7171" r:id="rId9" name="MultipleReportManagerInfo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1" r:id="rId9" name="MultipleReportManagerInfotb1"/>
      </mc:Fallback>
    </mc:AlternateContent>
    <mc:AlternateContent xmlns:mc="http://schemas.openxmlformats.org/markup-compatibility/2006">
      <mc:Choice Requires="x14">
        <control shapeId="7172" r:id="rId11" name="AnalyzerDynReport000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2" r:id="rId11" name="AnalyzerDynReport000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266C-6021-4008-9AD3-4DA5AD840A4E}">
  <sheetPr>
    <tabColor theme="5" tint="0.79998168889431442"/>
    <pageSetUpPr fitToPage="1"/>
  </sheetPr>
  <dimension ref="A1:S55"/>
  <sheetViews>
    <sheetView showGridLines="0" zoomScaleNormal="100" workbookViewId="0">
      <selection activeCell="A42" sqref="A42:XFD42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7" width="2.453125" style="2" customWidth="1"/>
    <col min="18" max="18" width="10.08984375" style="2" hidden="1" customWidth="1"/>
    <col min="19" max="19" width="10.1796875" style="2" hidden="1" customWidth="1"/>
    <col min="20" max="16384" width="8.81640625" style="2"/>
  </cols>
  <sheetData>
    <row r="1" spans="1:19" s="1" customFormat="1" x14ac:dyDescent="0.25">
      <c r="A1" s="1" t="s">
        <v>39</v>
      </c>
    </row>
    <row r="3" spans="1:19" x14ac:dyDescent="0.25">
      <c r="B3" s="88" t="s">
        <v>60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73"/>
    </row>
    <row r="4" spans="1:19" x14ac:dyDescent="0.25">
      <c r="B4" s="90">
        <v>2022</v>
      </c>
      <c r="C4" s="90"/>
      <c r="D4" s="90"/>
      <c r="E4" s="90"/>
      <c r="F4" s="90"/>
      <c r="G4" s="90"/>
      <c r="H4" s="90"/>
      <c r="J4" s="88">
        <v>2021</v>
      </c>
      <c r="K4" s="88"/>
      <c r="L4" s="88"/>
      <c r="M4" s="88"/>
      <c r="N4" s="88"/>
      <c r="O4" s="88"/>
      <c r="P4" s="88"/>
      <c r="Q4" s="73"/>
    </row>
    <row r="5" spans="1:19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  <c r="Q5" s="74"/>
      <c r="R5" s="2" t="s">
        <v>64</v>
      </c>
    </row>
    <row r="6" spans="1:19" s="1" customFormat="1" x14ac:dyDescent="0.25">
      <c r="A6" s="92" t="s">
        <v>7</v>
      </c>
      <c r="B6" s="77"/>
      <c r="C6" s="77"/>
      <c r="D6" s="77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9" x14ac:dyDescent="0.25">
      <c r="A7" s="8" t="s">
        <v>51</v>
      </c>
      <c r="B7" s="22">
        <v>572.84654945999989</v>
      </c>
      <c r="C7" s="22">
        <v>23.121379600000001</v>
      </c>
      <c r="D7" s="22">
        <v>0.70258931000000002</v>
      </c>
      <c r="E7" s="22">
        <v>84.779074909999991</v>
      </c>
      <c r="F7" s="22">
        <v>152.70661876</v>
      </c>
      <c r="G7" s="22">
        <v>0</v>
      </c>
      <c r="H7" s="23">
        <v>834.15621204000013</v>
      </c>
      <c r="I7" s="24">
        <v>0</v>
      </c>
      <c r="J7" s="24">
        <v>532.26046817999998</v>
      </c>
      <c r="K7" s="24">
        <v>29.638886120000002</v>
      </c>
      <c r="L7" s="24">
        <v>0</v>
      </c>
      <c r="M7" s="24">
        <v>88.462007010000008</v>
      </c>
      <c r="N7" s="24">
        <v>118.37985966000001</v>
      </c>
      <c r="O7" s="24">
        <v>0</v>
      </c>
      <c r="P7" s="23">
        <v>769.13374646999989</v>
      </c>
      <c r="Q7" s="67"/>
      <c r="R7" s="62">
        <v>0</v>
      </c>
      <c r="S7" s="62">
        <v>0</v>
      </c>
    </row>
    <row r="8" spans="1:19" x14ac:dyDescent="0.25">
      <c r="A8" s="8" t="s">
        <v>9</v>
      </c>
      <c r="B8" s="18">
        <v>105.39986924999999</v>
      </c>
      <c r="C8" s="18">
        <v>24.240327829999998</v>
      </c>
      <c r="D8" s="18">
        <v>52.049217829999996</v>
      </c>
      <c r="E8" s="18">
        <v>35.147162430000002</v>
      </c>
      <c r="F8" s="18">
        <v>12.60952374</v>
      </c>
      <c r="G8" s="18">
        <v>0</v>
      </c>
      <c r="H8" s="19">
        <v>229.44610108000001</v>
      </c>
      <c r="I8" s="2">
        <v>0</v>
      </c>
      <c r="J8" s="9">
        <v>109.87329856000001</v>
      </c>
      <c r="K8" s="9">
        <v>22.892504531488001</v>
      </c>
      <c r="L8" s="9">
        <v>54.287816219999996</v>
      </c>
      <c r="M8" s="9">
        <v>42.052669819999998</v>
      </c>
      <c r="N8" s="9">
        <v>8.2064453700000008</v>
      </c>
      <c r="O8" s="9">
        <v>0</v>
      </c>
      <c r="P8" s="19">
        <v>237.31273450148799</v>
      </c>
      <c r="Q8" s="68"/>
      <c r="R8" s="62">
        <v>0</v>
      </c>
      <c r="S8" s="62">
        <v>0</v>
      </c>
    </row>
    <row r="9" spans="1:19" x14ac:dyDescent="0.25">
      <c r="A9" s="8" t="s">
        <v>8</v>
      </c>
      <c r="B9" s="18">
        <v>85.372452780000003</v>
      </c>
      <c r="C9" s="18">
        <v>2.27148964</v>
      </c>
      <c r="D9" s="18">
        <v>0</v>
      </c>
      <c r="E9" s="18">
        <v>58.469271429999999</v>
      </c>
      <c r="F9" s="18">
        <v>26.878627379999998</v>
      </c>
      <c r="G9" s="18">
        <v>0</v>
      </c>
      <c r="H9" s="19">
        <v>172.99184122999998</v>
      </c>
      <c r="I9" s="2">
        <v>0</v>
      </c>
      <c r="J9" s="9">
        <v>84.697328689999992</v>
      </c>
      <c r="K9" s="9">
        <v>2.2056822200000004</v>
      </c>
      <c r="L9" s="9">
        <v>0</v>
      </c>
      <c r="M9" s="9">
        <v>75.865527270000001</v>
      </c>
      <c r="N9" s="9">
        <v>28.342899170000003</v>
      </c>
      <c r="O9" s="9">
        <v>0</v>
      </c>
      <c r="P9" s="19">
        <v>191.11143734999999</v>
      </c>
      <c r="Q9" s="68"/>
      <c r="R9" s="62">
        <v>0</v>
      </c>
      <c r="S9" s="62">
        <v>0</v>
      </c>
    </row>
    <row r="10" spans="1:19" x14ac:dyDescent="0.25">
      <c r="A10" s="8" t="s">
        <v>52</v>
      </c>
      <c r="B10" s="18">
        <v>25.948885440000002</v>
      </c>
      <c r="C10" s="18">
        <v>24.035852980000001</v>
      </c>
      <c r="D10" s="18">
        <v>21.74619873</v>
      </c>
      <c r="E10" s="18">
        <v>38.511450100000005</v>
      </c>
      <c r="F10" s="18">
        <v>12.52239144</v>
      </c>
      <c r="G10" s="18">
        <v>0</v>
      </c>
      <c r="H10" s="19">
        <v>122.76477869</v>
      </c>
      <c r="I10" s="2">
        <v>0</v>
      </c>
      <c r="J10" s="9">
        <v>22.45957374</v>
      </c>
      <c r="K10" s="9">
        <v>22.205264370000002</v>
      </c>
      <c r="L10" s="9">
        <v>20.353537199999998</v>
      </c>
      <c r="M10" s="9">
        <v>35.773157529999999</v>
      </c>
      <c r="N10" s="9">
        <v>9.8468228399999997</v>
      </c>
      <c r="O10" s="9">
        <v>0</v>
      </c>
      <c r="P10" s="19">
        <v>110.63835568</v>
      </c>
      <c r="Q10" s="68"/>
      <c r="R10" s="62">
        <v>0</v>
      </c>
      <c r="S10" s="62">
        <v>0</v>
      </c>
    </row>
    <row r="11" spans="1:19" x14ac:dyDescent="0.25">
      <c r="A11" s="8" t="s">
        <v>65</v>
      </c>
      <c r="B11" s="18">
        <v>0</v>
      </c>
      <c r="C11" s="18">
        <v>51.765261680000002</v>
      </c>
      <c r="D11" s="18">
        <v>13.98613048</v>
      </c>
      <c r="E11" s="18">
        <v>18.459083120000003</v>
      </c>
      <c r="F11" s="18">
        <v>25.590620999999999</v>
      </c>
      <c r="G11" s="18">
        <v>0</v>
      </c>
      <c r="H11" s="19">
        <v>109.80109628</v>
      </c>
      <c r="I11" s="2">
        <v>0</v>
      </c>
      <c r="J11" s="9">
        <v>0</v>
      </c>
      <c r="K11" s="9">
        <v>42.484977339999993</v>
      </c>
      <c r="L11" s="9">
        <v>0</v>
      </c>
      <c r="M11" s="9">
        <v>23.0965314</v>
      </c>
      <c r="N11" s="9">
        <v>32.619380630000002</v>
      </c>
      <c r="O11" s="9">
        <v>0</v>
      </c>
      <c r="P11" s="19">
        <v>98.200889369999999</v>
      </c>
      <c r="Q11" s="68"/>
      <c r="R11" s="62">
        <v>0</v>
      </c>
      <c r="S11" s="62">
        <v>0</v>
      </c>
    </row>
    <row r="12" spans="1:19" s="12" customFormat="1" ht="14" x14ac:dyDescent="0.25">
      <c r="A12" s="11" t="s">
        <v>50</v>
      </c>
      <c r="B12" s="18">
        <v>109.92075962999999</v>
      </c>
      <c r="C12" s="18">
        <v>11.229521140000015</v>
      </c>
      <c r="D12" s="18">
        <v>0</v>
      </c>
      <c r="E12" s="18">
        <v>49.987196820000023</v>
      </c>
      <c r="F12" s="18">
        <v>32.848423400000009</v>
      </c>
      <c r="G12" s="18">
        <v>0</v>
      </c>
      <c r="H12" s="19">
        <v>203.98590098999978</v>
      </c>
      <c r="I12" s="12">
        <v>0</v>
      </c>
      <c r="J12" s="9">
        <v>94.710127469999904</v>
      </c>
      <c r="K12" s="9">
        <v>12.530093019999981</v>
      </c>
      <c r="L12" s="9">
        <v>0</v>
      </c>
      <c r="M12" s="9">
        <v>64.022032179999954</v>
      </c>
      <c r="N12" s="9">
        <v>34.288884739999979</v>
      </c>
      <c r="O12" s="9">
        <v>0</v>
      </c>
      <c r="P12" s="19">
        <v>205.55113739000009</v>
      </c>
      <c r="Q12" s="68"/>
      <c r="R12" s="62">
        <v>-2.2737367544323206E-13</v>
      </c>
      <c r="S12" s="62">
        <v>2.8421709430404007E-13</v>
      </c>
    </row>
    <row r="13" spans="1:19" s="12" customFormat="1" x14ac:dyDescent="0.25">
      <c r="A13" s="91" t="s">
        <v>12</v>
      </c>
      <c r="B13" s="79"/>
      <c r="C13" s="79"/>
      <c r="D13" s="79"/>
      <c r="E13" s="79"/>
      <c r="F13" s="79"/>
      <c r="G13" s="79"/>
      <c r="H13" s="79"/>
      <c r="I13" s="80"/>
      <c r="J13" s="81"/>
      <c r="K13" s="81"/>
      <c r="L13" s="81"/>
      <c r="M13" s="81"/>
      <c r="N13" s="81"/>
      <c r="O13" s="81"/>
      <c r="P13" s="81"/>
      <c r="Q13" s="68"/>
      <c r="R13" s="62">
        <v>0</v>
      </c>
      <c r="S13" s="62">
        <v>0</v>
      </c>
    </row>
    <row r="14" spans="1:19" x14ac:dyDescent="0.25">
      <c r="A14" s="8" t="s">
        <v>11</v>
      </c>
      <c r="B14" s="18">
        <v>195.65514740999998</v>
      </c>
      <c r="C14" s="18">
        <v>6.7045071100000007</v>
      </c>
      <c r="D14" s="18">
        <v>0</v>
      </c>
      <c r="E14" s="18">
        <v>18.26262453</v>
      </c>
      <c r="F14" s="18">
        <v>5.02848484</v>
      </c>
      <c r="G14" s="18">
        <v>0</v>
      </c>
      <c r="H14" s="19">
        <v>225.65076388999998</v>
      </c>
      <c r="I14" s="2">
        <v>0</v>
      </c>
      <c r="J14" s="9">
        <v>161.06439291999999</v>
      </c>
      <c r="K14" s="9">
        <v>4.8081950300000003</v>
      </c>
      <c r="L14" s="9">
        <v>0</v>
      </c>
      <c r="M14" s="9">
        <v>16.545256519999999</v>
      </c>
      <c r="N14" s="9">
        <v>3.3537636499999999</v>
      </c>
      <c r="O14" s="9">
        <v>0</v>
      </c>
      <c r="P14" s="19">
        <v>185.77160812</v>
      </c>
      <c r="Q14" s="68"/>
      <c r="R14" s="62">
        <v>0</v>
      </c>
      <c r="S14" s="62">
        <v>0</v>
      </c>
    </row>
    <row r="15" spans="1:19" x14ac:dyDescent="0.25">
      <c r="A15" s="8" t="s">
        <v>13</v>
      </c>
      <c r="B15" s="18">
        <v>47.986529850000004</v>
      </c>
      <c r="C15" s="18">
        <v>1.48930177</v>
      </c>
      <c r="D15" s="18">
        <v>0</v>
      </c>
      <c r="E15" s="18">
        <v>36.51182618</v>
      </c>
      <c r="F15" s="18">
        <v>35.631846070000002</v>
      </c>
      <c r="G15" s="18">
        <v>0</v>
      </c>
      <c r="H15" s="19">
        <v>121.61950387</v>
      </c>
      <c r="I15" s="2">
        <v>0</v>
      </c>
      <c r="J15" s="9">
        <v>34.177966529999999</v>
      </c>
      <c r="K15" s="9">
        <v>1.7637229399999999</v>
      </c>
      <c r="L15" s="9">
        <v>0</v>
      </c>
      <c r="M15" s="9">
        <v>55.541674909999998</v>
      </c>
      <c r="N15" s="9">
        <v>34.651934199999999</v>
      </c>
      <c r="O15" s="9">
        <v>0</v>
      </c>
      <c r="P15" s="19">
        <v>126.13529858</v>
      </c>
      <c r="Q15" s="68"/>
      <c r="R15" s="62">
        <v>0</v>
      </c>
      <c r="S15" s="62">
        <v>0</v>
      </c>
    </row>
    <row r="16" spans="1:19" x14ac:dyDescent="0.25">
      <c r="A16" s="8" t="s">
        <v>14</v>
      </c>
      <c r="B16" s="18">
        <v>0</v>
      </c>
      <c r="C16" s="18">
        <v>19.32523325</v>
      </c>
      <c r="D16" s="18">
        <v>0</v>
      </c>
      <c r="E16" s="18">
        <v>34.128017010000001</v>
      </c>
      <c r="F16" s="18">
        <v>21.710721719999999</v>
      </c>
      <c r="G16" s="18">
        <v>0</v>
      </c>
      <c r="H16" s="19">
        <v>75.163971979999999</v>
      </c>
      <c r="I16" s="2">
        <v>0</v>
      </c>
      <c r="J16" s="9">
        <v>0</v>
      </c>
      <c r="K16" s="9">
        <v>19.80491297</v>
      </c>
      <c r="L16" s="9">
        <v>0</v>
      </c>
      <c r="M16" s="9">
        <v>22.431493120000003</v>
      </c>
      <c r="N16" s="9">
        <v>20.80510864</v>
      </c>
      <c r="O16" s="9">
        <v>0</v>
      </c>
      <c r="P16" s="19">
        <v>63.041514729999996</v>
      </c>
      <c r="Q16" s="68"/>
      <c r="R16" s="62">
        <v>0</v>
      </c>
      <c r="S16" s="62">
        <v>0</v>
      </c>
    </row>
    <row r="17" spans="1:19" x14ac:dyDescent="0.25">
      <c r="A17" s="8" t="s">
        <v>62</v>
      </c>
      <c r="B17" s="18">
        <v>0</v>
      </c>
      <c r="C17" s="18">
        <v>0</v>
      </c>
      <c r="D17" s="18">
        <v>0</v>
      </c>
      <c r="E17" s="18">
        <v>38.737766439999994</v>
      </c>
      <c r="F17" s="18">
        <v>0</v>
      </c>
      <c r="G17" s="18">
        <v>0</v>
      </c>
      <c r="H17" s="19">
        <v>38.737766439999994</v>
      </c>
      <c r="I17" s="2">
        <v>1</v>
      </c>
      <c r="J17" s="9">
        <v>0</v>
      </c>
      <c r="K17" s="9">
        <v>0</v>
      </c>
      <c r="L17" s="9">
        <v>0</v>
      </c>
      <c r="M17" s="9">
        <v>36.08117738</v>
      </c>
      <c r="N17" s="9">
        <v>0</v>
      </c>
      <c r="O17" s="9">
        <v>0</v>
      </c>
      <c r="P17" s="19">
        <v>36.08117738</v>
      </c>
      <c r="Q17" s="68"/>
      <c r="R17" s="62">
        <v>0</v>
      </c>
      <c r="S17" s="62">
        <v>0</v>
      </c>
    </row>
    <row r="18" spans="1:19" x14ac:dyDescent="0.25">
      <c r="A18" s="8" t="s">
        <v>63</v>
      </c>
      <c r="B18" s="18">
        <v>0</v>
      </c>
      <c r="C18" s="18">
        <v>2.8714222400000002</v>
      </c>
      <c r="D18" s="18">
        <v>0</v>
      </c>
      <c r="E18" s="18">
        <v>15.4586057</v>
      </c>
      <c r="F18" s="18">
        <v>1.13377481</v>
      </c>
      <c r="G18" s="18">
        <v>0</v>
      </c>
      <c r="H18" s="19">
        <v>19.463802749999999</v>
      </c>
      <c r="I18" s="2">
        <v>2</v>
      </c>
      <c r="J18" s="9">
        <v>0</v>
      </c>
      <c r="K18" s="9">
        <v>5.9982958000000002</v>
      </c>
      <c r="L18" s="9">
        <v>0</v>
      </c>
      <c r="M18" s="9">
        <v>6.8811074900000007</v>
      </c>
      <c r="N18" s="9">
        <v>0</v>
      </c>
      <c r="O18" s="9">
        <v>0</v>
      </c>
      <c r="P18" s="19">
        <v>12.879403289999999</v>
      </c>
      <c r="Q18" s="68"/>
      <c r="R18" s="62">
        <v>0</v>
      </c>
      <c r="S18" s="62">
        <v>0</v>
      </c>
    </row>
    <row r="19" spans="1:19" ht="12" customHeight="1" x14ac:dyDescent="0.25">
      <c r="A19" s="8" t="s">
        <v>49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  <c r="Q19" s="68"/>
      <c r="R19" s="62">
        <v>-2.6077032089569671E-14</v>
      </c>
      <c r="S19" s="62">
        <v>2.9802322387695311E-14</v>
      </c>
    </row>
    <row r="20" spans="1:19" ht="11.5" customHeight="1" x14ac:dyDescent="0.25">
      <c r="A20" s="93" t="s">
        <v>34</v>
      </c>
      <c r="B20" s="82"/>
      <c r="C20" s="82"/>
      <c r="D20" s="82"/>
      <c r="E20" s="82"/>
      <c r="F20" s="82"/>
      <c r="G20" s="82"/>
      <c r="H20" s="82"/>
      <c r="I20" s="83"/>
      <c r="J20" s="84"/>
      <c r="K20" s="84"/>
      <c r="L20" s="84"/>
      <c r="M20" s="84"/>
      <c r="N20" s="84"/>
      <c r="O20" s="84"/>
      <c r="P20" s="84"/>
      <c r="Q20" s="68"/>
      <c r="R20" s="62">
        <v>0</v>
      </c>
      <c r="S20" s="62">
        <v>0</v>
      </c>
    </row>
    <row r="21" spans="1:19" s="100" customFormat="1" x14ac:dyDescent="0.25">
      <c r="A21" s="95" t="s">
        <v>35</v>
      </c>
      <c r="B21" s="96"/>
      <c r="C21" s="96"/>
      <c r="D21" s="96"/>
      <c r="E21" s="96"/>
      <c r="F21" s="96"/>
      <c r="G21" s="96"/>
      <c r="H21" s="96"/>
      <c r="J21" s="98"/>
      <c r="K21" s="98"/>
      <c r="L21" s="98"/>
      <c r="M21" s="98"/>
      <c r="N21" s="98"/>
      <c r="O21" s="98"/>
      <c r="P21" s="96"/>
      <c r="Q21" s="96"/>
      <c r="R21" s="99">
        <v>0</v>
      </c>
      <c r="S21" s="99">
        <v>0</v>
      </c>
    </row>
    <row r="22" spans="1:19" x14ac:dyDescent="0.25">
      <c r="A22" s="8" t="s">
        <v>15</v>
      </c>
      <c r="B22" s="18">
        <v>7.6069237999999997</v>
      </c>
      <c r="C22" s="18">
        <v>74.51252912999999</v>
      </c>
      <c r="D22" s="18">
        <v>169.71149800000001</v>
      </c>
      <c r="E22" s="18">
        <v>81.550448239999994</v>
      </c>
      <c r="F22" s="18">
        <v>24.068688469999998</v>
      </c>
      <c r="G22" s="18">
        <v>0</v>
      </c>
      <c r="H22" s="19">
        <v>357.45008763999999</v>
      </c>
      <c r="I22" s="2">
        <v>0</v>
      </c>
      <c r="J22" s="9">
        <v>9.5904292799999986</v>
      </c>
      <c r="K22" s="9">
        <v>71.874794829999999</v>
      </c>
      <c r="L22" s="9">
        <v>174.24482494999998</v>
      </c>
      <c r="M22" s="9">
        <v>97.107286989999992</v>
      </c>
      <c r="N22" s="9">
        <v>24.709852390000002</v>
      </c>
      <c r="O22" s="9">
        <v>0</v>
      </c>
      <c r="P22" s="19">
        <v>377.52718843999997</v>
      </c>
      <c r="Q22" s="68"/>
      <c r="R22" s="62">
        <v>0</v>
      </c>
      <c r="S22" s="62">
        <v>0</v>
      </c>
    </row>
    <row r="23" spans="1:19" x14ac:dyDescent="0.25">
      <c r="A23" s="11" t="s">
        <v>16</v>
      </c>
      <c r="B23" s="18">
        <v>7.5226848799999999</v>
      </c>
      <c r="C23" s="18">
        <v>29.41092269</v>
      </c>
      <c r="D23" s="18">
        <v>0</v>
      </c>
      <c r="E23" s="18">
        <v>61.294280669999999</v>
      </c>
      <c r="F23" s="18">
        <v>31.496301219999999</v>
      </c>
      <c r="G23" s="18">
        <v>0</v>
      </c>
      <c r="H23" s="19">
        <v>130.14114673999998</v>
      </c>
      <c r="I23" s="2">
        <v>0</v>
      </c>
      <c r="J23" s="9">
        <v>10.338214109999999</v>
      </c>
      <c r="K23" s="9">
        <v>37.610041899999999</v>
      </c>
      <c r="L23" s="9">
        <v>1.7425894799999999</v>
      </c>
      <c r="M23" s="9">
        <v>77.578593380000001</v>
      </c>
      <c r="N23" s="9">
        <v>36.550813349999999</v>
      </c>
      <c r="O23" s="9">
        <v>0</v>
      </c>
      <c r="P23" s="19">
        <v>164.00587679</v>
      </c>
      <c r="Q23" s="68"/>
      <c r="R23" s="62">
        <v>0</v>
      </c>
      <c r="S23" s="62">
        <v>0</v>
      </c>
    </row>
    <row r="24" spans="1:19" x14ac:dyDescent="0.25">
      <c r="A24" s="8" t="s">
        <v>17</v>
      </c>
      <c r="B24" s="18">
        <v>0</v>
      </c>
      <c r="C24" s="18">
        <v>132.37209716000001</v>
      </c>
      <c r="D24" s="18">
        <v>0</v>
      </c>
      <c r="E24" s="18">
        <v>293.23241647000003</v>
      </c>
      <c r="F24" s="18">
        <v>31.022562780000001</v>
      </c>
      <c r="G24" s="18">
        <v>0</v>
      </c>
      <c r="H24" s="19">
        <v>456.62707641000003</v>
      </c>
      <c r="I24" s="2">
        <v>0</v>
      </c>
      <c r="J24" s="9">
        <v>0</v>
      </c>
      <c r="K24" s="9">
        <v>141.44905602</v>
      </c>
      <c r="L24" s="9">
        <v>0</v>
      </c>
      <c r="M24" s="9">
        <v>288.72309525999998</v>
      </c>
      <c r="N24" s="9">
        <v>27.399560480000002</v>
      </c>
      <c r="O24" s="9">
        <v>0</v>
      </c>
      <c r="P24" s="19">
        <v>457.57171175999997</v>
      </c>
      <c r="Q24" s="68"/>
      <c r="R24" s="62">
        <v>0</v>
      </c>
      <c r="S24" s="62">
        <v>0</v>
      </c>
    </row>
    <row r="25" spans="1:19" x14ac:dyDescent="0.25">
      <c r="A25" s="8" t="s">
        <v>18</v>
      </c>
      <c r="B25" s="18">
        <v>0</v>
      </c>
      <c r="C25" s="18">
        <v>70.311875540000003</v>
      </c>
      <c r="D25" s="18">
        <v>0</v>
      </c>
      <c r="E25" s="18">
        <v>0</v>
      </c>
      <c r="F25" s="18">
        <v>1.01705815</v>
      </c>
      <c r="G25" s="18">
        <v>0</v>
      </c>
      <c r="H25" s="19">
        <v>71.32893369</v>
      </c>
      <c r="I25" s="2">
        <v>0</v>
      </c>
      <c r="J25" s="9">
        <v>0</v>
      </c>
      <c r="K25" s="9">
        <v>66.783736959999999</v>
      </c>
      <c r="L25" s="9">
        <v>0</v>
      </c>
      <c r="M25" s="9">
        <v>0</v>
      </c>
      <c r="N25" s="9">
        <v>1.0401929399999998</v>
      </c>
      <c r="O25" s="9">
        <v>0</v>
      </c>
      <c r="P25" s="19">
        <v>67.82392990000001</v>
      </c>
      <c r="Q25" s="68"/>
      <c r="R25" s="62">
        <v>0</v>
      </c>
      <c r="S25" s="62">
        <v>0</v>
      </c>
    </row>
    <row r="26" spans="1:19" x14ac:dyDescent="0.25">
      <c r="A26" s="8" t="s">
        <v>19</v>
      </c>
      <c r="B26" s="18">
        <v>13.06102767</v>
      </c>
      <c r="C26" s="18">
        <v>92.347888019999999</v>
      </c>
      <c r="D26" s="18">
        <v>152.54398449000001</v>
      </c>
      <c r="E26" s="18">
        <v>37.88384885</v>
      </c>
      <c r="F26" s="18">
        <v>27.557416239999998</v>
      </c>
      <c r="G26" s="18">
        <v>0</v>
      </c>
      <c r="H26" s="19">
        <v>323.39416526999997</v>
      </c>
      <c r="I26" s="2">
        <v>0</v>
      </c>
      <c r="J26" s="9">
        <v>11.59675099</v>
      </c>
      <c r="K26" s="9">
        <v>109.74266759000001</v>
      </c>
      <c r="L26" s="9">
        <v>162.52430525</v>
      </c>
      <c r="M26" s="9">
        <v>40.426584170000005</v>
      </c>
      <c r="N26" s="9">
        <v>33.052914539999996</v>
      </c>
      <c r="O26" s="9">
        <v>0</v>
      </c>
      <c r="P26" s="19">
        <v>357.34322254</v>
      </c>
      <c r="Q26" s="68"/>
      <c r="R26" s="62">
        <v>0</v>
      </c>
      <c r="S26" s="62">
        <v>0</v>
      </c>
    </row>
    <row r="27" spans="1:19" hidden="1" x14ac:dyDescent="0.25">
      <c r="A27" s="8" t="s">
        <v>20</v>
      </c>
      <c r="B27" s="18">
        <v>3.3280219600000001</v>
      </c>
      <c r="C27" s="18">
        <v>9.3676011799999994</v>
      </c>
      <c r="D27" s="18">
        <v>12.38969</v>
      </c>
      <c r="E27" s="18">
        <v>14.538853169999999</v>
      </c>
      <c r="F27" s="18">
        <v>8.4228221600000008</v>
      </c>
      <c r="G27" s="18">
        <v>0</v>
      </c>
      <c r="H27" s="19">
        <v>48.046988470000002</v>
      </c>
      <c r="I27" s="2">
        <v>0</v>
      </c>
      <c r="J27" s="9">
        <v>3.7948717699999999</v>
      </c>
      <c r="K27" s="9">
        <v>14.318877560000001</v>
      </c>
      <c r="L27" s="9">
        <v>19.360215069999999</v>
      </c>
      <c r="M27" s="9">
        <v>18.24086475</v>
      </c>
      <c r="N27" s="9">
        <v>8.9253452299999996</v>
      </c>
      <c r="O27" s="9">
        <v>0</v>
      </c>
      <c r="P27" s="19">
        <v>64.640174380000005</v>
      </c>
      <c r="Q27" s="68"/>
      <c r="R27" s="62">
        <v>0</v>
      </c>
      <c r="S27" s="62">
        <v>0</v>
      </c>
    </row>
    <row r="28" spans="1:19" s="12" customFormat="1" ht="14" x14ac:dyDescent="0.25">
      <c r="A28" s="11" t="s">
        <v>48</v>
      </c>
      <c r="B28" s="18">
        <v>3.3280219599999969</v>
      </c>
      <c r="C28" s="18">
        <v>51.490525190000056</v>
      </c>
      <c r="D28" s="18">
        <v>12.400653</v>
      </c>
      <c r="E28" s="18">
        <v>62.311642759999991</v>
      </c>
      <c r="F28" s="18">
        <v>29.946105750000015</v>
      </c>
      <c r="G28" s="18">
        <v>0</v>
      </c>
      <c r="H28" s="19">
        <v>159.47694866000009</v>
      </c>
      <c r="I28" s="12">
        <v>0</v>
      </c>
      <c r="J28" s="9">
        <v>3.7948717699999959</v>
      </c>
      <c r="K28" s="9">
        <v>60.253795710000041</v>
      </c>
      <c r="L28" s="9">
        <v>19.369879040000082</v>
      </c>
      <c r="M28" s="9">
        <v>74.518499819999988</v>
      </c>
      <c r="N28" s="9">
        <v>33.351943150000004</v>
      </c>
      <c r="O28" s="9">
        <v>0</v>
      </c>
      <c r="P28" s="19">
        <v>191.28898949000001</v>
      </c>
      <c r="Q28" s="68"/>
      <c r="R28" s="62">
        <v>0</v>
      </c>
      <c r="S28" s="62">
        <v>-2.8421709430404007E-13</v>
      </c>
    </row>
    <row r="29" spans="1:19" s="97" customFormat="1" x14ac:dyDescent="0.25">
      <c r="A29" s="95" t="s">
        <v>36</v>
      </c>
      <c r="B29" s="96"/>
      <c r="C29" s="96"/>
      <c r="D29" s="96"/>
      <c r="E29" s="96"/>
      <c r="F29" s="96"/>
      <c r="G29" s="96"/>
      <c r="H29" s="96"/>
      <c r="J29" s="98"/>
      <c r="K29" s="98"/>
      <c r="L29" s="98"/>
      <c r="M29" s="98"/>
      <c r="N29" s="98"/>
      <c r="O29" s="98"/>
      <c r="P29" s="96"/>
      <c r="Q29" s="96"/>
      <c r="R29" s="99">
        <v>0</v>
      </c>
      <c r="S29" s="99">
        <v>0</v>
      </c>
    </row>
    <row r="30" spans="1:19" x14ac:dyDescent="0.25">
      <c r="A30" s="8" t="s">
        <v>21</v>
      </c>
      <c r="B30" s="18">
        <v>10.801260409999999</v>
      </c>
      <c r="C30" s="18">
        <v>151.75124350999999</v>
      </c>
      <c r="D30" s="18">
        <v>144.26324418999999</v>
      </c>
      <c r="E30" s="18">
        <v>59.65728902</v>
      </c>
      <c r="F30" s="18">
        <v>44.209617090000002</v>
      </c>
      <c r="G30" s="18">
        <v>0</v>
      </c>
      <c r="H30" s="19">
        <v>410.68265422000002</v>
      </c>
      <c r="I30" s="2">
        <v>0</v>
      </c>
      <c r="J30" s="9">
        <v>14.843565230000001</v>
      </c>
      <c r="K30" s="9">
        <v>155.95948672999998</v>
      </c>
      <c r="L30" s="9">
        <v>139.73923916999999</v>
      </c>
      <c r="M30" s="9">
        <v>64.940816470000001</v>
      </c>
      <c r="N30" s="9">
        <v>37.347695689999995</v>
      </c>
      <c r="O30" s="9">
        <v>0</v>
      </c>
      <c r="P30" s="19">
        <v>412.83080329000001</v>
      </c>
      <c r="Q30" s="68"/>
      <c r="R30" s="62">
        <v>0</v>
      </c>
      <c r="S30" s="62">
        <v>0</v>
      </c>
    </row>
    <row r="31" spans="1:19" x14ac:dyDescent="0.25">
      <c r="A31" s="8" t="s">
        <v>22</v>
      </c>
      <c r="B31" s="20">
        <v>9.6838904499999998</v>
      </c>
      <c r="C31" s="20">
        <v>35.394077289999998</v>
      </c>
      <c r="D31" s="20">
        <v>71.94277120000001</v>
      </c>
      <c r="E31" s="20">
        <v>47.035340829999996</v>
      </c>
      <c r="F31" s="20">
        <v>72.101419379999996</v>
      </c>
      <c r="G31" s="18">
        <v>2.1553028100000322</v>
      </c>
      <c r="H31" s="21">
        <v>238.31280196</v>
      </c>
      <c r="I31" s="2">
        <v>0</v>
      </c>
      <c r="J31" s="14">
        <v>4.4715109200000001</v>
      </c>
      <c r="K31" s="14">
        <v>23.064362729999999</v>
      </c>
      <c r="L31" s="14">
        <v>69.537477019999997</v>
      </c>
      <c r="M31" s="14">
        <v>43.667621099999998</v>
      </c>
      <c r="N31" s="14">
        <v>63.889853459999998</v>
      </c>
      <c r="O31" s="14">
        <v>1.1067635800000131</v>
      </c>
      <c r="P31" s="21">
        <v>205.73758881000001</v>
      </c>
      <c r="Q31" s="69"/>
      <c r="R31" s="62">
        <v>0</v>
      </c>
      <c r="S31" s="62">
        <v>0</v>
      </c>
    </row>
    <row r="32" spans="1:19" x14ac:dyDescent="0.25">
      <c r="A32" s="11" t="s">
        <v>23</v>
      </c>
      <c r="B32" s="18">
        <v>140.08292978</v>
      </c>
      <c r="C32" s="18">
        <v>0</v>
      </c>
      <c r="D32" s="18">
        <v>0</v>
      </c>
      <c r="E32" s="18">
        <v>38.697869099999998</v>
      </c>
      <c r="F32" s="18">
        <v>0.90420975000000003</v>
      </c>
      <c r="G32" s="18">
        <v>0</v>
      </c>
      <c r="H32" s="19">
        <v>179.68500863</v>
      </c>
      <c r="I32" s="2">
        <v>0</v>
      </c>
      <c r="J32" s="9">
        <v>154.21836088000001</v>
      </c>
      <c r="K32" s="9">
        <v>0</v>
      </c>
      <c r="L32" s="9">
        <v>0</v>
      </c>
      <c r="M32" s="9">
        <v>34.674126799999996</v>
      </c>
      <c r="N32" s="9">
        <v>1.17031624</v>
      </c>
      <c r="O32" s="9">
        <v>0</v>
      </c>
      <c r="P32" s="19">
        <v>190.06280391999999</v>
      </c>
      <c r="Q32" s="68"/>
      <c r="R32" s="62">
        <v>0</v>
      </c>
      <c r="S32" s="62">
        <v>0</v>
      </c>
    </row>
    <row r="33" spans="1:19" x14ac:dyDescent="0.25">
      <c r="A33" s="8" t="s">
        <v>24</v>
      </c>
      <c r="B33" s="20">
        <v>4.3739627699999994</v>
      </c>
      <c r="C33" s="20">
        <v>34.26875124</v>
      </c>
      <c r="D33" s="18">
        <v>0</v>
      </c>
      <c r="E33" s="20">
        <v>55.724456140000001</v>
      </c>
      <c r="F33" s="20">
        <v>30.765954480000001</v>
      </c>
      <c r="G33" s="20">
        <v>0</v>
      </c>
      <c r="H33" s="19">
        <v>125.34914563</v>
      </c>
      <c r="I33" s="2">
        <v>0</v>
      </c>
      <c r="J33" s="14">
        <v>5.5869715199999996</v>
      </c>
      <c r="K33" s="14">
        <v>25.15681155</v>
      </c>
      <c r="L33" s="9">
        <v>0</v>
      </c>
      <c r="M33" s="14">
        <v>54.974899010000001</v>
      </c>
      <c r="N33" s="14">
        <v>25.491746070000001</v>
      </c>
      <c r="O33" s="14">
        <v>0</v>
      </c>
      <c r="P33" s="19">
        <v>111.35134501</v>
      </c>
      <c r="Q33" s="68"/>
      <c r="R33" s="62">
        <v>0</v>
      </c>
      <c r="S33" s="62">
        <v>0</v>
      </c>
    </row>
    <row r="34" spans="1:19" hidden="1" x14ac:dyDescent="0.25">
      <c r="A34" s="11" t="s">
        <v>25</v>
      </c>
      <c r="B34" s="18">
        <v>46.432101060000001</v>
      </c>
      <c r="C34" s="18">
        <v>1.38873135</v>
      </c>
      <c r="D34" s="18">
        <v>0</v>
      </c>
      <c r="E34" s="18">
        <v>3.85066094</v>
      </c>
      <c r="F34" s="18">
        <v>0</v>
      </c>
      <c r="G34" s="18">
        <v>0.686104299999997</v>
      </c>
      <c r="H34" s="19">
        <v>52.47399446</v>
      </c>
      <c r="I34" s="2">
        <v>0</v>
      </c>
      <c r="J34" s="9">
        <v>56.726781850000002</v>
      </c>
      <c r="K34" s="9">
        <v>2.0028920800000001</v>
      </c>
      <c r="L34" s="9">
        <v>0</v>
      </c>
      <c r="M34" s="9">
        <v>4.3702197199999997</v>
      </c>
      <c r="N34" s="9">
        <v>0</v>
      </c>
      <c r="O34" s="14">
        <v>0</v>
      </c>
      <c r="P34" s="19">
        <v>63.43743903</v>
      </c>
      <c r="Q34" s="68"/>
      <c r="R34" s="62">
        <v>0</v>
      </c>
      <c r="S34" s="62">
        <v>0</v>
      </c>
    </row>
    <row r="35" spans="1:19" ht="14" x14ac:dyDescent="0.25">
      <c r="A35" s="8" t="s">
        <v>47</v>
      </c>
      <c r="B35" s="18">
        <v>46.432101060000001</v>
      </c>
      <c r="C35" s="18">
        <v>23.459655340000005</v>
      </c>
      <c r="D35" s="18">
        <v>0</v>
      </c>
      <c r="E35" s="18">
        <v>5.762283980000019</v>
      </c>
      <c r="F35" s="18">
        <v>6.5411232900000211</v>
      </c>
      <c r="G35" s="18">
        <v>0.68610429999998213</v>
      </c>
      <c r="H35" s="19">
        <v>82.881267969999911</v>
      </c>
      <c r="I35" s="2">
        <v>0</v>
      </c>
      <c r="J35" s="9">
        <v>55.997987299999984</v>
      </c>
      <c r="K35" s="9">
        <v>20.096261170000016</v>
      </c>
      <c r="L35" s="9">
        <v>0</v>
      </c>
      <c r="M35" s="9">
        <v>6.0785102899999917</v>
      </c>
      <c r="N35" s="9">
        <v>6.2305291199999902</v>
      </c>
      <c r="O35" s="14">
        <v>0</v>
      </c>
      <c r="P35" s="19">
        <v>88.604095879999988</v>
      </c>
      <c r="Q35" s="68"/>
      <c r="R35" s="62">
        <v>-1.1368683772161603E-13</v>
      </c>
      <c r="S35" s="62">
        <v>0</v>
      </c>
    </row>
    <row r="36" spans="1:19" s="100" customFormat="1" x14ac:dyDescent="0.25">
      <c r="A36" s="95" t="s">
        <v>37</v>
      </c>
      <c r="B36" s="96"/>
      <c r="C36" s="96"/>
      <c r="D36" s="96"/>
      <c r="E36" s="96"/>
      <c r="F36" s="96"/>
      <c r="G36" s="96"/>
      <c r="H36" s="96"/>
      <c r="J36" s="98"/>
      <c r="K36" s="98"/>
      <c r="L36" s="98"/>
      <c r="M36" s="98"/>
      <c r="N36" s="98"/>
      <c r="O36" s="98"/>
      <c r="P36" s="96"/>
      <c r="Q36" s="96"/>
      <c r="R36" s="99">
        <v>0</v>
      </c>
      <c r="S36" s="99">
        <v>0</v>
      </c>
    </row>
    <row r="37" spans="1:19" x14ac:dyDescent="0.25">
      <c r="A37" s="8" t="s">
        <v>26</v>
      </c>
      <c r="B37" s="18">
        <v>0</v>
      </c>
      <c r="C37" s="18">
        <v>48.814240479999995</v>
      </c>
      <c r="D37" s="18">
        <v>44.962566000000002</v>
      </c>
      <c r="E37" s="18">
        <v>60.932090930000001</v>
      </c>
      <c r="F37" s="18">
        <v>85.960335379999989</v>
      </c>
      <c r="G37" s="18">
        <v>0</v>
      </c>
      <c r="H37" s="19">
        <v>240.66923279</v>
      </c>
      <c r="I37" s="2">
        <v>0</v>
      </c>
      <c r="J37" s="9">
        <v>0</v>
      </c>
      <c r="K37" s="9">
        <v>46.168581209999999</v>
      </c>
      <c r="L37" s="9">
        <v>40.776814799999997</v>
      </c>
      <c r="M37" s="9">
        <v>66.56182905</v>
      </c>
      <c r="N37" s="9">
        <v>90.351973980000011</v>
      </c>
      <c r="O37" s="9">
        <v>0</v>
      </c>
      <c r="P37" s="19">
        <v>243.85904904</v>
      </c>
      <c r="Q37" s="68"/>
      <c r="R37" s="62">
        <v>0</v>
      </c>
      <c r="S37" s="62">
        <v>0</v>
      </c>
    </row>
    <row r="38" spans="1:19" x14ac:dyDescent="0.25">
      <c r="A38" s="8" t="s">
        <v>27</v>
      </c>
      <c r="B38" s="18">
        <v>4.0109166099999998</v>
      </c>
      <c r="C38" s="18">
        <v>39.910458460000001</v>
      </c>
      <c r="D38" s="18">
        <v>57.008879</v>
      </c>
      <c r="E38" s="18">
        <v>36.959161309999999</v>
      </c>
      <c r="F38" s="18">
        <v>14.58081046</v>
      </c>
      <c r="G38" s="18">
        <v>0</v>
      </c>
      <c r="H38" s="19">
        <v>152.47022584000001</v>
      </c>
      <c r="I38" s="2">
        <v>0</v>
      </c>
      <c r="J38" s="9">
        <v>3.4761244500000004</v>
      </c>
      <c r="K38" s="9">
        <v>45.806951240000004</v>
      </c>
      <c r="L38" s="9">
        <v>66.66117448</v>
      </c>
      <c r="M38" s="9">
        <v>42.358751060000003</v>
      </c>
      <c r="N38" s="9">
        <v>17.103802200000001</v>
      </c>
      <c r="O38" s="9">
        <v>0</v>
      </c>
      <c r="P38" s="19">
        <v>175.40680343</v>
      </c>
      <c r="Q38" s="68"/>
      <c r="R38" s="62">
        <v>0</v>
      </c>
      <c r="S38" s="62">
        <v>0</v>
      </c>
    </row>
    <row r="39" spans="1:19" x14ac:dyDescent="0.25">
      <c r="A39" s="8" t="s">
        <v>28</v>
      </c>
      <c r="B39" s="18">
        <v>0</v>
      </c>
      <c r="C39" s="18">
        <v>3.4577320600000001</v>
      </c>
      <c r="D39" s="18">
        <v>29.944344000000001</v>
      </c>
      <c r="E39" s="18">
        <v>24.09202818</v>
      </c>
      <c r="F39" s="18">
        <v>70.524508260000005</v>
      </c>
      <c r="G39" s="18">
        <v>-6.2459902600000055</v>
      </c>
      <c r="H39" s="19">
        <v>121.77262223999999</v>
      </c>
      <c r="I39" s="2">
        <v>0</v>
      </c>
      <c r="J39" s="9">
        <v>0</v>
      </c>
      <c r="K39" s="9">
        <v>2.9095525499999999</v>
      </c>
      <c r="L39" s="9">
        <v>26.402459069999999</v>
      </c>
      <c r="M39" s="9">
        <v>24.666101059999999</v>
      </c>
      <c r="N39" s="9">
        <v>71.046591169999999</v>
      </c>
      <c r="O39" s="9">
        <v>0</v>
      </c>
      <c r="P39" s="19">
        <v>125.02470384999999</v>
      </c>
      <c r="Q39" s="68"/>
      <c r="R39" s="62">
        <v>0</v>
      </c>
      <c r="S39" s="62">
        <v>0</v>
      </c>
    </row>
    <row r="40" spans="1:19" hidden="1" x14ac:dyDescent="0.25">
      <c r="A40" s="11" t="s">
        <v>29</v>
      </c>
      <c r="B40" s="18">
        <v>0.65270976000000003</v>
      </c>
      <c r="C40" s="18">
        <v>20.623934670000001</v>
      </c>
      <c r="D40" s="18">
        <v>0</v>
      </c>
      <c r="E40" s="18">
        <v>48.108662760000001</v>
      </c>
      <c r="F40" s="18">
        <v>8.3194614500000004</v>
      </c>
      <c r="G40" s="18">
        <v>0</v>
      </c>
      <c r="H40" s="19">
        <v>77.704768639999998</v>
      </c>
      <c r="I40" s="2">
        <v>0</v>
      </c>
      <c r="J40" s="9">
        <v>1.3923274699999999</v>
      </c>
      <c r="K40" s="9">
        <v>23.283768579999997</v>
      </c>
      <c r="L40" s="9">
        <v>0</v>
      </c>
      <c r="M40" s="9">
        <v>54.136888859999999</v>
      </c>
      <c r="N40" s="9">
        <v>8.2702929699999999</v>
      </c>
      <c r="O40" s="9">
        <v>0</v>
      </c>
      <c r="P40" s="19">
        <v>87.083277879999997</v>
      </c>
      <c r="Q40" s="68"/>
      <c r="R40" s="62">
        <v>0</v>
      </c>
      <c r="S40" s="62">
        <v>0</v>
      </c>
    </row>
    <row r="41" spans="1:19" s="12" customFormat="1" ht="14" x14ac:dyDescent="0.25">
      <c r="A41" s="11" t="s">
        <v>46</v>
      </c>
      <c r="B41" s="18">
        <v>15.344172760000001</v>
      </c>
      <c r="C41" s="18">
        <v>45.736873639999985</v>
      </c>
      <c r="D41" s="18">
        <v>0</v>
      </c>
      <c r="E41" s="18">
        <v>155.57234162</v>
      </c>
      <c r="F41" s="18">
        <v>57.769118439999971</v>
      </c>
      <c r="G41" s="18">
        <v>-1.5432015899998992</v>
      </c>
      <c r="H41" s="19">
        <v>272.87930487</v>
      </c>
      <c r="I41" s="12">
        <v>0</v>
      </c>
      <c r="J41" s="9">
        <v>16.772227709999999</v>
      </c>
      <c r="K41" s="9">
        <v>53.271404376793711</v>
      </c>
      <c r="L41" s="9">
        <v>0</v>
      </c>
      <c r="M41" s="9">
        <v>163.15099210999995</v>
      </c>
      <c r="N41" s="9">
        <v>52.482963579999982</v>
      </c>
      <c r="O41" s="9">
        <v>0</v>
      </c>
      <c r="P41" s="19">
        <v>285.67758777679359</v>
      </c>
      <c r="Q41" s="68"/>
      <c r="R41" s="62">
        <v>0</v>
      </c>
      <c r="S41" s="62">
        <v>0</v>
      </c>
    </row>
    <row r="42" spans="1:19" s="97" customFormat="1" x14ac:dyDescent="0.25">
      <c r="A42" s="95" t="s">
        <v>2</v>
      </c>
      <c r="B42" s="96"/>
      <c r="C42" s="96"/>
      <c r="D42" s="96"/>
      <c r="E42" s="96"/>
      <c r="F42" s="96"/>
      <c r="G42" s="96"/>
      <c r="H42" s="96"/>
      <c r="J42" s="98"/>
      <c r="K42" s="98"/>
      <c r="L42" s="98"/>
      <c r="M42" s="98"/>
      <c r="N42" s="98"/>
      <c r="O42" s="98"/>
      <c r="P42" s="96"/>
      <c r="Q42" s="96"/>
      <c r="R42" s="99">
        <v>0</v>
      </c>
      <c r="S42" s="99">
        <v>0</v>
      </c>
    </row>
    <row r="43" spans="1:19" x14ac:dyDescent="0.25">
      <c r="A43" s="8" t="s">
        <v>30</v>
      </c>
      <c r="B43" s="18">
        <v>1.2547948100000001</v>
      </c>
      <c r="C43" s="18">
        <v>15.72224568</v>
      </c>
      <c r="D43" s="18">
        <v>71.748519999999999</v>
      </c>
      <c r="E43" s="18">
        <v>8.7359032499999998</v>
      </c>
      <c r="F43" s="18">
        <v>3.1355806099999999</v>
      </c>
      <c r="G43" s="18">
        <v>0</v>
      </c>
      <c r="H43" s="19">
        <v>100.59704434999999</v>
      </c>
      <c r="I43" s="2">
        <v>0</v>
      </c>
      <c r="J43" s="9">
        <v>1.3483706799999999</v>
      </c>
      <c r="K43" s="9">
        <v>14.960587210000002</v>
      </c>
      <c r="L43" s="9">
        <v>85.78131329</v>
      </c>
      <c r="M43" s="9">
        <v>11.81919459</v>
      </c>
      <c r="N43" s="9">
        <v>3.5892522400000004</v>
      </c>
      <c r="O43" s="9">
        <v>0</v>
      </c>
      <c r="P43" s="19">
        <v>117.49871801</v>
      </c>
      <c r="Q43" s="68"/>
      <c r="R43" s="62">
        <v>0</v>
      </c>
      <c r="S43" s="62">
        <v>0</v>
      </c>
    </row>
    <row r="44" spans="1:19" x14ac:dyDescent="0.25">
      <c r="A44" s="8" t="s">
        <v>31</v>
      </c>
      <c r="B44" s="18">
        <v>7.4081320899999996</v>
      </c>
      <c r="C44" s="18">
        <v>57.64631267</v>
      </c>
      <c r="D44" s="18">
        <v>45.289496999999997</v>
      </c>
      <c r="E44" s="18">
        <v>11.694489599999999</v>
      </c>
      <c r="F44" s="18">
        <v>2.96047298</v>
      </c>
      <c r="G44" s="18">
        <v>0</v>
      </c>
      <c r="H44" s="19">
        <v>124.99890434000001</v>
      </c>
      <c r="I44" s="2">
        <v>0</v>
      </c>
      <c r="J44" s="9">
        <v>9.3570026500000001</v>
      </c>
      <c r="K44" s="9">
        <v>65.135198939999995</v>
      </c>
      <c r="L44" s="9">
        <v>45.011956659999996</v>
      </c>
      <c r="M44" s="9">
        <v>12.968415449999998</v>
      </c>
      <c r="N44" s="9">
        <v>3.8678605199999998</v>
      </c>
      <c r="O44" s="9">
        <v>0</v>
      </c>
      <c r="P44" s="19">
        <v>136.34043421999999</v>
      </c>
      <c r="Q44" s="68"/>
      <c r="R44" s="62">
        <v>0</v>
      </c>
      <c r="S44" s="62">
        <v>0</v>
      </c>
    </row>
    <row r="45" spans="1:19" hidden="1" x14ac:dyDescent="0.25">
      <c r="A45" s="8" t="s">
        <v>33</v>
      </c>
      <c r="B45" s="18">
        <v>0</v>
      </c>
      <c r="C45" s="18">
        <v>13.663343080000001</v>
      </c>
      <c r="D45" s="18">
        <v>5.060181</v>
      </c>
      <c r="E45" s="18">
        <v>47.119065310000003</v>
      </c>
      <c r="F45" s="18">
        <v>4.1946174599999999</v>
      </c>
      <c r="G45" s="18">
        <v>0</v>
      </c>
      <c r="H45" s="19">
        <v>69.697978290000009</v>
      </c>
      <c r="I45" s="2">
        <v>0</v>
      </c>
      <c r="J45" s="9">
        <v>0</v>
      </c>
      <c r="K45" s="9">
        <v>13.49600534</v>
      </c>
      <c r="L45" s="9">
        <v>1.05604151</v>
      </c>
      <c r="M45" s="9">
        <v>53.542249009999999</v>
      </c>
      <c r="N45" s="9">
        <v>2.8838263999999998</v>
      </c>
      <c r="O45" s="9">
        <v>0</v>
      </c>
      <c r="P45" s="19">
        <v>71.393310310000004</v>
      </c>
      <c r="Q45" s="68"/>
      <c r="R45" s="62">
        <v>0</v>
      </c>
      <c r="S45" s="62">
        <v>0</v>
      </c>
    </row>
    <row r="46" spans="1:19" hidden="1" x14ac:dyDescent="0.25">
      <c r="A46" s="8" t="s">
        <v>32</v>
      </c>
      <c r="B46" s="18">
        <v>1.6125323600000001</v>
      </c>
      <c r="C46" s="18">
        <v>12.60658795</v>
      </c>
      <c r="D46" s="18">
        <v>14.803858999999999</v>
      </c>
      <c r="E46" s="18">
        <v>16.364390449999998</v>
      </c>
      <c r="F46" s="18">
        <v>9.043807769999999</v>
      </c>
      <c r="G46" s="18">
        <v>0</v>
      </c>
      <c r="H46" s="19">
        <v>54.431177529999999</v>
      </c>
      <c r="I46" s="2">
        <v>0</v>
      </c>
      <c r="J46" s="9">
        <v>3.1980352200000004</v>
      </c>
      <c r="K46" s="9">
        <v>15.728368939999999</v>
      </c>
      <c r="L46" s="9">
        <v>18.745266340000001</v>
      </c>
      <c r="M46" s="9">
        <v>20.044235559999997</v>
      </c>
      <c r="N46" s="9">
        <v>7.8366173699999999</v>
      </c>
      <c r="O46" s="9">
        <v>0</v>
      </c>
      <c r="P46" s="19">
        <v>65.552523429999994</v>
      </c>
      <c r="Q46" s="68"/>
      <c r="R46" s="62">
        <v>0</v>
      </c>
      <c r="S46" s="62">
        <v>0</v>
      </c>
    </row>
    <row r="47" spans="1:19" s="12" customFormat="1" ht="14" x14ac:dyDescent="0.25">
      <c r="A47" s="11" t="s">
        <v>44</v>
      </c>
      <c r="B47" s="18">
        <v>24.078018770000003</v>
      </c>
      <c r="C47" s="18">
        <v>69.535355030000005</v>
      </c>
      <c r="D47" s="18">
        <v>28.161382889999985</v>
      </c>
      <c r="E47" s="18">
        <v>170.91104526000001</v>
      </c>
      <c r="F47" s="18">
        <v>33.20822063</v>
      </c>
      <c r="G47" s="18">
        <v>0</v>
      </c>
      <c r="H47" s="19">
        <v>325.92371981999997</v>
      </c>
      <c r="I47" s="12">
        <v>0</v>
      </c>
      <c r="J47" s="9">
        <v>40.938340279999998</v>
      </c>
      <c r="K47" s="9">
        <v>68.113383013028894</v>
      </c>
      <c r="L47" s="9">
        <v>25.909919709999993</v>
      </c>
      <c r="M47" s="9">
        <v>196.50274603</v>
      </c>
      <c r="N47" s="9">
        <v>28.674485430000001</v>
      </c>
      <c r="O47" s="9">
        <v>0</v>
      </c>
      <c r="P47" s="19">
        <v>359.6922216230289</v>
      </c>
      <c r="Q47" s="68"/>
      <c r="R47" s="62">
        <v>0</v>
      </c>
      <c r="S47" s="62">
        <v>0</v>
      </c>
    </row>
    <row r="48" spans="1:19" s="12" customFormat="1" ht="14" x14ac:dyDescent="0.25">
      <c r="A48" s="16" t="s">
        <v>45</v>
      </c>
      <c r="B48" s="18">
        <v>-0.88418578000000003</v>
      </c>
      <c r="C48" s="18">
        <v>0</v>
      </c>
      <c r="D48" s="18">
        <v>0</v>
      </c>
      <c r="E48" s="18">
        <v>-9.257721759999999</v>
      </c>
      <c r="F48" s="18">
        <v>0.50977355000000002</v>
      </c>
      <c r="G48" s="18">
        <v>155.27469787999999</v>
      </c>
      <c r="H48" s="19">
        <v>145.64557213999998</v>
      </c>
      <c r="I48" s="12">
        <v>0</v>
      </c>
      <c r="J48" s="9">
        <v>-4.4552139200000003</v>
      </c>
      <c r="K48" s="9">
        <v>0</v>
      </c>
      <c r="L48" s="9">
        <v>0</v>
      </c>
      <c r="M48" s="9">
        <v>-26.259413930000001</v>
      </c>
      <c r="N48" s="9">
        <v>-1.69638479</v>
      </c>
      <c r="O48" s="9">
        <v>233.30752876337169</v>
      </c>
      <c r="P48" s="19">
        <v>200.87610149110358</v>
      </c>
      <c r="Q48" s="68"/>
      <c r="R48" s="62">
        <v>0</v>
      </c>
      <c r="S48" s="62">
        <v>0</v>
      </c>
    </row>
    <row r="49" spans="1:19" ht="12" thickBot="1" x14ac:dyDescent="0.3">
      <c r="A49" s="1" t="s">
        <v>40</v>
      </c>
      <c r="B49" s="28">
        <v>1437.23484586</v>
      </c>
      <c r="C49" s="28">
        <v>1143.2000886199999</v>
      </c>
      <c r="D49" s="28">
        <v>917.09621312000002</v>
      </c>
      <c r="E49" s="28">
        <v>1631.24129315</v>
      </c>
      <c r="F49" s="28">
        <v>894.94031007000001</v>
      </c>
      <c r="G49" s="28">
        <v>150.35485165999984</v>
      </c>
      <c r="H49" s="29">
        <v>6174.0676024799996</v>
      </c>
      <c r="I49" s="30">
        <v>0</v>
      </c>
      <c r="J49" s="28">
        <v>1377.1185199400002</v>
      </c>
      <c r="K49" s="28">
        <v>1172.6687934590423</v>
      </c>
      <c r="L49" s="28">
        <v>932.87674865999998</v>
      </c>
      <c r="M49" s="28">
        <v>1741.2112833399999</v>
      </c>
      <c r="N49" s="28">
        <v>846.15106065999998</v>
      </c>
      <c r="O49" s="28">
        <v>234.35407207337283</v>
      </c>
      <c r="P49" s="29">
        <v>6304.3804781324152</v>
      </c>
      <c r="Q49" s="70"/>
      <c r="R49" s="62">
        <v>0</v>
      </c>
      <c r="S49" s="62">
        <v>0</v>
      </c>
    </row>
    <row r="50" spans="1:19" ht="12" thickTop="1" x14ac:dyDescent="0.25"/>
    <row r="51" spans="1:19" x14ac:dyDescent="0.25">
      <c r="A51" s="17" t="s">
        <v>41</v>
      </c>
    </row>
    <row r="52" spans="1:19" ht="14" x14ac:dyDescent="0.25">
      <c r="A52" s="17" t="s">
        <v>42</v>
      </c>
    </row>
    <row r="53" spans="1:19" ht="14" x14ac:dyDescent="0.25">
      <c r="A53" s="17" t="s">
        <v>43</v>
      </c>
    </row>
    <row r="55" spans="1:19" hidden="1" x14ac:dyDescent="0.25">
      <c r="A55" s="2" t="s">
        <v>64</v>
      </c>
      <c r="B55" s="62">
        <v>0</v>
      </c>
      <c r="C55" s="62">
        <v>0</v>
      </c>
      <c r="D55" s="62">
        <v>0</v>
      </c>
      <c r="E55" s="62">
        <v>2.9999910111655481E-8</v>
      </c>
      <c r="F55" s="62">
        <v>0</v>
      </c>
      <c r="G55" s="62">
        <v>-2.5579538487363607E-13</v>
      </c>
      <c r="H55" s="62">
        <v>2.9999682737980038E-8</v>
      </c>
      <c r="I55" s="62">
        <v>-3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9.6633812063373625E-13</v>
      </c>
      <c r="P55" s="62">
        <v>0</v>
      </c>
      <c r="Q55" s="62"/>
    </row>
  </sheetData>
  <mergeCells count="3">
    <mergeCell ref="B3:P3"/>
    <mergeCell ref="B4:H4"/>
    <mergeCell ref="J4:P4"/>
  </mergeCells>
  <pageMargins left="0.7" right="0.7" top="0.75" bottom="0.75" header="0.3" footer="0.3"/>
  <pageSetup scale="69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8C36-40C4-450D-B1BC-E0487BB70B0C}">
  <sheetPr codeName="Sheet4">
    <pageSetUpPr autoPageBreaks="0"/>
  </sheetPr>
  <dimension ref="A1:Q161"/>
  <sheetViews>
    <sheetView workbookViewId="0">
      <pane xSplit="1" ySplit="6" topLeftCell="B7" activePane="bottomRight" state="frozen"/>
      <selection activeCell="F41" sqref="F41"/>
      <selection pane="topRight" activeCell="F41" sqref="F41"/>
      <selection pane="bottomLeft" activeCell="F41" sqref="F41"/>
      <selection pane="bottomRight" activeCell="F41" sqref="F41"/>
    </sheetView>
  </sheetViews>
  <sheetFormatPr defaultRowHeight="14.5" x14ac:dyDescent="0.35"/>
  <cols>
    <col min="1" max="1" width="35.54296875" bestFit="1" customWidth="1"/>
    <col min="2" max="2" width="20.7265625" style="31" bestFit="1" customWidth="1"/>
    <col min="3" max="6" width="15.26953125" style="31" bestFit="1" customWidth="1"/>
    <col min="7" max="7" width="12" style="31" bestFit="1" customWidth="1"/>
    <col min="8" max="8" width="21.54296875" style="31" bestFit="1" customWidth="1"/>
    <col min="9" max="9" width="4.26953125" style="31" customWidth="1"/>
    <col min="10" max="14" width="15.26953125" style="31" bestFit="1" customWidth="1"/>
    <col min="15" max="15" width="14.26953125" style="31" bestFit="1" customWidth="1"/>
    <col min="16" max="16" width="21.54296875" style="31" bestFit="1" customWidth="1"/>
  </cols>
  <sheetData>
    <row r="1" spans="1:16" x14ac:dyDescent="0.35">
      <c r="A1" s="39" t="str">
        <f xml:space="preserve"> _xll.EPMOlapMemberO("[CATEGORY].[PARENTH1].[ACTUAL]","","ACTUAL - Actual Results","","000")</f>
        <v>ACTUAL - Actual Results</v>
      </c>
    </row>
    <row r="2" spans="1:16" x14ac:dyDescent="0.35">
      <c r="A2" s="39" t="str">
        <f xml:space="preserve"> _xll.EPMOlapMemberO("[REPORTING_LINE].[PARENTH1].[F_NET_SALES]","","F_NET_SALES - Net Sales","","000")</f>
        <v>F_NET_SALES - Net Sales</v>
      </c>
    </row>
    <row r="4" spans="1:16" x14ac:dyDescent="0.35">
      <c r="B4" s="37" t="str">
        <f xml:space="preserve"> _xll.EPMOlapMemberO("[TIME].[PARENTH1].[2022.03]","","2022.03 - Mar-22","","000")</f>
        <v>2022.03 - Mar-22</v>
      </c>
      <c r="C4" s="37"/>
      <c r="D4" s="37"/>
      <c r="E4" s="37"/>
      <c r="F4" s="37"/>
      <c r="G4" s="38"/>
      <c r="H4" s="37"/>
      <c r="I4" s="38"/>
      <c r="J4" s="37" t="str">
        <f xml:space="preserve"> _xll.EPMOlapMemberO("[TIME].[PARENTH1].[2021.03]","","2021.03 - Mar-21","","000")</f>
        <v>2021.03 - Mar-21</v>
      </c>
      <c r="K4" s="32"/>
      <c r="L4" s="32"/>
      <c r="M4" s="32"/>
      <c r="N4" s="32"/>
      <c r="P4" s="32"/>
    </row>
    <row r="5" spans="1:16" x14ac:dyDescent="0.35">
      <c r="B5" s="32" t="str">
        <f xml:space="preserve"> _xll.EPMOlapMemberO("[MEASURES].[].[YTD]","","YTD - Year To Date","","000")</f>
        <v>YTD - Year To Date</v>
      </c>
      <c r="C5" s="32"/>
      <c r="D5" s="32"/>
      <c r="E5" s="32"/>
      <c r="F5" s="32"/>
      <c r="H5" s="32"/>
      <c r="J5" s="32" t="str">
        <f xml:space="preserve"> _xll.EPMOlapMemberO("[MEASURES].[].[YTD]","","YTD - Year To Date","","000")</f>
        <v>YTD - Year To Date</v>
      </c>
      <c r="K5" s="32"/>
      <c r="L5" s="32"/>
      <c r="M5" s="32"/>
      <c r="N5" s="32"/>
      <c r="P5" s="32"/>
    </row>
    <row r="6" spans="1:16" x14ac:dyDescent="0.35">
      <c r="B6" s="32" t="str">
        <f xml:space="preserve"> _xll.EPMOlapMemberO("[ORGANIZATION].[PARENTH1].[OCO_USPR]","","US and Puerto Rico","","000")</f>
        <v>US and Puerto Rico</v>
      </c>
      <c r="C6" s="32" t="str">
        <f xml:space="preserve"> _xll.EPMOlapMemberO("[ORGANIZATION].[PARENTH1].[OCO_APAC]","","APJ","","000")</f>
        <v>APJ</v>
      </c>
      <c r="D6" s="32" t="str">
        <f xml:space="preserve"> _xll.EPMOlapMemberO("[ORGANIZATION].[PARENTH1].[OCO_CN]","","China Total","","000")</f>
        <v>China Total</v>
      </c>
      <c r="E6" s="32" t="str">
        <f xml:space="preserve"> _xll.EPMOlapMemberO("[ORGANIZATION].[PARENTH1].[OCO_EUCAN]","","EUCAN","","000")</f>
        <v>EUCAN</v>
      </c>
      <c r="F6" s="32" t="str">
        <f xml:space="preserve"> _xll.EPMOlapMemberO("[ORGANIZATION].[PARENTH1].[OCO_EEMEA_LATAM]","","LAMERA","","000")</f>
        <v>LAMERA</v>
      </c>
      <c r="G6" s="31" t="s">
        <v>2</v>
      </c>
      <c r="H6" s="32" t="str">
        <f xml:space="preserve"> _xll.EPMOlapMemberO("[ORGANIZATION].[PARENTH1].[ORGANON]","","Organon - All Divisions","","000")</f>
        <v>Organon - All Divisions</v>
      </c>
      <c r="J6" s="32" t="str">
        <f xml:space="preserve"> _xll.EPMOlapMemberO("[ORGANIZATION].[PARENTH1].[OCO_USPR]","","US and Puerto Rico","","000")</f>
        <v>US and Puerto Rico</v>
      </c>
      <c r="K6" s="32" t="str">
        <f xml:space="preserve"> _xll.EPMOlapMemberO("[ORGANIZATION].[PARENTH1].[OCO_APAC]","","APJ","","000")</f>
        <v>APJ</v>
      </c>
      <c r="L6" s="32" t="str">
        <f xml:space="preserve"> _xll.EPMOlapMemberO("[ORGANIZATION].[PARENTH1].[OCO_CN]","","China Total","","000")</f>
        <v>China Total</v>
      </c>
      <c r="M6" s="32" t="str">
        <f xml:space="preserve"> _xll.EPMOlapMemberO("[ORGANIZATION].[PARENTH1].[OCO_EUCAN]","","EUCAN","","000")</f>
        <v>EUCAN</v>
      </c>
      <c r="N6" s="32" t="str">
        <f xml:space="preserve"> _xll.EPMOlapMemberO("[ORGANIZATION].[PARENTH1].[OCO_EEMEA_LATAM]","","LAMERA","","000")</f>
        <v>LAMERA</v>
      </c>
      <c r="O6" s="31" t="s">
        <v>2</v>
      </c>
      <c r="P6" s="32" t="str">
        <f xml:space="preserve"> _xll.EPMOlapMemberO("[ORGANIZATION].[PARENTH1].[ORGANON]","","Organon - All Divisions","","000")</f>
        <v>Organon - All Divisions</v>
      </c>
    </row>
    <row r="7" spans="1:16" x14ac:dyDescent="0.35">
      <c r="A7" s="33"/>
    </row>
    <row r="8" spans="1:16" hidden="1" x14ac:dyDescent="0.35">
      <c r="A8" s="43" t="str">
        <f xml:space="preserve"> _xll.EPMOlapMemberO("[PRODUCT].[PARENTH1].[XPL]","","Nexplanon","","000")</f>
        <v>Nexplanon</v>
      </c>
      <c r="B8" s="31">
        <v>116429479.66</v>
      </c>
      <c r="C8" s="31">
        <v>4676328.47</v>
      </c>
      <c r="D8" s="31">
        <v>251991.41</v>
      </c>
      <c r="E8" s="31">
        <v>22810488.34</v>
      </c>
      <c r="F8" s="31">
        <v>27098139.640000001</v>
      </c>
      <c r="G8" s="31">
        <v>0</v>
      </c>
      <c r="H8" s="31">
        <v>171266427.52000001</v>
      </c>
      <c r="J8" s="31">
        <v>140779549.38</v>
      </c>
      <c r="K8" s="31">
        <v>6293748.2300000004</v>
      </c>
      <c r="L8" s="31">
        <v>76084.47</v>
      </c>
      <c r="M8" s="31">
        <v>19604531.41</v>
      </c>
      <c r="N8" s="31">
        <v>16524952.42</v>
      </c>
      <c r="O8" s="31">
        <v>0</v>
      </c>
      <c r="P8" s="31">
        <v>183278865.91</v>
      </c>
    </row>
    <row r="9" spans="1:16" hidden="1" x14ac:dyDescent="0.35">
      <c r="A9" s="43" t="str">
        <f xml:space="preserve"> _xll.EPMOlapMemberO("[PRODUCT].[PARENTH1].[ITA]","","Implanon Training Applicator","","000")</f>
        <v>Implanon Training Applicator</v>
      </c>
      <c r="B9" s="31">
        <v>3120.01</v>
      </c>
      <c r="F9" s="31">
        <v>-5202.1099999999997</v>
      </c>
      <c r="H9" s="31">
        <v>-2082.1</v>
      </c>
    </row>
    <row r="10" spans="1:16" x14ac:dyDescent="0.35">
      <c r="A10" s="56" t="s">
        <v>51</v>
      </c>
      <c r="B10" s="31">
        <f>SUM(B8:B9)</f>
        <v>116432599.67</v>
      </c>
      <c r="C10" s="31">
        <f t="shared" ref="C10:H10" si="0">SUM(C8:C9)</f>
        <v>4676328.47</v>
      </c>
      <c r="D10" s="31">
        <f t="shared" si="0"/>
        <v>251991.41</v>
      </c>
      <c r="E10" s="31">
        <f t="shared" si="0"/>
        <v>22810488.34</v>
      </c>
      <c r="F10" s="31">
        <f t="shared" si="0"/>
        <v>27092937.530000001</v>
      </c>
      <c r="G10" s="31">
        <f>H10-SUM(B10:F10)</f>
        <v>0</v>
      </c>
      <c r="H10" s="31">
        <f t="shared" si="0"/>
        <v>171264345.42000002</v>
      </c>
      <c r="J10" s="31">
        <f>SUM(J8:J9)</f>
        <v>140779549.38</v>
      </c>
      <c r="K10" s="31">
        <f t="shared" ref="K10:P10" si="1">SUM(K8:K9)</f>
        <v>6293748.2300000004</v>
      </c>
      <c r="L10" s="31">
        <f t="shared" si="1"/>
        <v>76084.47</v>
      </c>
      <c r="M10" s="31">
        <f t="shared" si="1"/>
        <v>19604531.41</v>
      </c>
      <c r="N10" s="31">
        <f t="shared" si="1"/>
        <v>16524952.42</v>
      </c>
      <c r="O10" s="31">
        <f>P10-SUM(J10:N10)</f>
        <v>0</v>
      </c>
      <c r="P10" s="31">
        <f t="shared" si="1"/>
        <v>183278865.91</v>
      </c>
    </row>
    <row r="11" spans="1:16" x14ac:dyDescent="0.35">
      <c r="A11" s="44" t="str">
        <f xml:space="preserve"> _xll.EPMOlapMemberO("[PRODUCT].[PARENTH1].[XPU]","","Follistim Puregon","","000")</f>
        <v>Follistim Puregon</v>
      </c>
      <c r="B11" s="31">
        <v>29713006.550000001</v>
      </c>
      <c r="C11" s="31">
        <v>5932414.1100000003</v>
      </c>
      <c r="D11" s="31">
        <v>13681313.18</v>
      </c>
      <c r="E11" s="31">
        <v>9405115.4499999993</v>
      </c>
      <c r="F11" s="31">
        <v>2297339.89</v>
      </c>
      <c r="G11" s="31">
        <f t="shared" ref="G11:G76" si="2">H11-SUM(B11:F11)</f>
        <v>0</v>
      </c>
      <c r="H11" s="31">
        <v>61029189.18</v>
      </c>
      <c r="J11" s="31">
        <v>25267166.850000001</v>
      </c>
      <c r="K11" s="31">
        <v>5285883.33</v>
      </c>
      <c r="L11" s="31">
        <v>7850459.7400000002</v>
      </c>
      <c r="M11" s="31">
        <v>11361247.060000001</v>
      </c>
      <c r="N11" s="31">
        <v>2209599.19</v>
      </c>
      <c r="O11" s="31">
        <f t="shared" ref="O11:O55" si="3">P11-SUM(J11:N11)</f>
        <v>0</v>
      </c>
      <c r="P11" s="31">
        <v>51974356.170000002</v>
      </c>
    </row>
    <row r="12" spans="1:16" x14ac:dyDescent="0.35">
      <c r="A12" s="43" t="str">
        <f xml:space="preserve"> _xll.EPMOlapMemberO("[PRODUCT].[PARENTH1].[XNU]","","Nuvaring","","000")</f>
        <v>Nuvaring</v>
      </c>
      <c r="B12" s="31">
        <v>16052947.23</v>
      </c>
      <c r="C12" s="31">
        <v>607998.34</v>
      </c>
      <c r="E12" s="31">
        <v>16234777.449999999</v>
      </c>
      <c r="F12" s="31">
        <v>7636001.5999999996</v>
      </c>
      <c r="G12" s="31">
        <f t="shared" si="2"/>
        <v>0</v>
      </c>
      <c r="H12" s="31">
        <v>40531724.619999997</v>
      </c>
      <c r="J12" s="31">
        <v>20972082.510000002</v>
      </c>
      <c r="K12" s="31">
        <v>339777.92</v>
      </c>
      <c r="M12" s="31">
        <v>19791615.690000001</v>
      </c>
      <c r="N12" s="31">
        <v>4121924.84</v>
      </c>
      <c r="O12" s="31">
        <f t="shared" si="3"/>
        <v>0</v>
      </c>
      <c r="P12" s="31">
        <v>45225400.960000001</v>
      </c>
    </row>
    <row r="13" spans="1:16" x14ac:dyDescent="0.35">
      <c r="A13" s="44" t="str">
        <f xml:space="preserve"> _xll.EPMOlapMemberO("[PRODUCT].[PARENTH1].[XGL]","","Orgalutran","","000")</f>
        <v>Orgalutran</v>
      </c>
      <c r="B13" s="31">
        <v>7659637.9500000002</v>
      </c>
      <c r="C13" s="31">
        <v>4072483.25</v>
      </c>
      <c r="D13" s="31">
        <v>5064365.0999999996</v>
      </c>
      <c r="E13" s="31">
        <v>10500114.15</v>
      </c>
      <c r="F13" s="31">
        <v>2380410.3199999998</v>
      </c>
      <c r="G13" s="31">
        <f t="shared" si="2"/>
        <v>0</v>
      </c>
      <c r="H13" s="31">
        <v>29677010.77</v>
      </c>
      <c r="J13" s="31">
        <v>8274902.1600000001</v>
      </c>
      <c r="K13" s="31">
        <v>6905017.54</v>
      </c>
      <c r="L13" s="31">
        <v>2778455.78</v>
      </c>
      <c r="M13" s="31">
        <v>8926435.1600000001</v>
      </c>
      <c r="N13" s="31">
        <v>2179515.25</v>
      </c>
      <c r="O13" s="31">
        <f t="shared" si="3"/>
        <v>0</v>
      </c>
      <c r="P13" s="31">
        <v>29064325.890000001</v>
      </c>
    </row>
    <row r="14" spans="1:16" x14ac:dyDescent="0.35">
      <c r="A14" s="43" t="str">
        <f xml:space="preserve"> _xll.EPMOlapMemberO("[PRODUCT].[PARENTH1].[XCE]","","Cerazette","","000")</f>
        <v>Cerazette</v>
      </c>
      <c r="C14" s="31">
        <v>384644.76</v>
      </c>
      <c r="E14" s="31">
        <v>9373222.9100000001</v>
      </c>
      <c r="F14" s="31">
        <v>7747664.0300000003</v>
      </c>
      <c r="G14" s="31">
        <f t="shared" si="2"/>
        <v>0</v>
      </c>
      <c r="H14" s="31">
        <v>17505531.699999999</v>
      </c>
      <c r="K14" s="31">
        <v>444118.78</v>
      </c>
      <c r="M14" s="31">
        <v>11684623.460000001</v>
      </c>
      <c r="N14" s="31">
        <v>4600665.8499999996</v>
      </c>
      <c r="O14" s="31">
        <f t="shared" si="3"/>
        <v>0</v>
      </c>
      <c r="P14" s="31">
        <v>16729408.09</v>
      </c>
    </row>
    <row r="15" spans="1:16" x14ac:dyDescent="0.35">
      <c r="A15" s="34" t="s">
        <v>55</v>
      </c>
      <c r="B15" s="31">
        <f>(B16-SUM(B10:B14))</f>
        <v>27001314.550000012</v>
      </c>
      <c r="C15" s="31">
        <f t="shared" ref="C15:F15" si="4">(C16-SUM(C10:C14))</f>
        <v>12380746.16</v>
      </c>
      <c r="D15" s="31">
        <f t="shared" si="4"/>
        <v>1022895.6800000034</v>
      </c>
      <c r="E15" s="31">
        <f t="shared" si="4"/>
        <v>8202047.5799999982</v>
      </c>
      <c r="F15" s="31">
        <f t="shared" si="4"/>
        <v>9344314.2099999934</v>
      </c>
      <c r="G15" s="31">
        <f t="shared" si="2"/>
        <v>0</v>
      </c>
      <c r="H15" s="31">
        <f>(H16-SUM(H10:H14))</f>
        <v>57951318.180000007</v>
      </c>
      <c r="J15" s="31">
        <f>(J16-SUM(J10:J14))</f>
        <v>39836490.900000036</v>
      </c>
      <c r="K15" s="31">
        <f>(K16-SUM(K10:K14))</f>
        <v>13201699.399999999</v>
      </c>
      <c r="L15" s="31">
        <f>(L16-SUM(L10:L14))</f>
        <v>0</v>
      </c>
      <c r="M15" s="31">
        <f>(M16-SUM(M10:M14))</f>
        <v>10244574.939999998</v>
      </c>
      <c r="N15" s="31">
        <f>(N16-SUM(N10:N14))</f>
        <v>9751331.3000000045</v>
      </c>
      <c r="O15" s="31">
        <f t="shared" si="3"/>
        <v>0</v>
      </c>
      <c r="P15" s="31">
        <f>(P16-SUM(P10:P14))</f>
        <v>73034096.540000081</v>
      </c>
    </row>
    <row r="16" spans="1:16" s="36" customFormat="1" x14ac:dyDescent="0.35">
      <c r="A16" s="45" t="str">
        <f xml:space="preserve"> _xll.EPMOlapMemberO("[PRODUCT].[PARENTH1].[WOMENS_HEALTH]","","Total Women's Health","","000")</f>
        <v>Total Women's Health</v>
      </c>
      <c r="B16" s="35">
        <v>196859505.94999999</v>
      </c>
      <c r="C16" s="35">
        <v>28054615.09</v>
      </c>
      <c r="D16" s="35">
        <v>20020565.370000001</v>
      </c>
      <c r="E16" s="35">
        <v>76525765.879999995</v>
      </c>
      <c r="F16" s="35">
        <v>56498667.579999998</v>
      </c>
      <c r="G16" s="35">
        <f t="shared" si="2"/>
        <v>0</v>
      </c>
      <c r="H16" s="35">
        <v>377959119.87</v>
      </c>
      <c r="I16" s="35"/>
      <c r="J16" s="35">
        <v>235130191.80000001</v>
      </c>
      <c r="K16" s="35">
        <v>32470245.199999999</v>
      </c>
      <c r="L16" s="35">
        <v>10704999.99</v>
      </c>
      <c r="M16" s="35">
        <v>81613027.719999999</v>
      </c>
      <c r="N16" s="35">
        <v>39387988.850000001</v>
      </c>
      <c r="O16" s="35">
        <f t="shared" si="3"/>
        <v>0</v>
      </c>
      <c r="P16" s="35">
        <v>399306453.56</v>
      </c>
    </row>
    <row r="17" spans="1:16" x14ac:dyDescent="0.35">
      <c r="A17" s="44" t="str">
        <f xml:space="preserve"> _xll.EPMOlapMemberO("[PRODUCT].[PARENTH1].[SBT]","","Renflexis","","000")</f>
        <v>Renflexis</v>
      </c>
      <c r="B17" s="31">
        <v>42047197.119999997</v>
      </c>
      <c r="C17" s="31">
        <v>1469194.98</v>
      </c>
      <c r="E17" s="31">
        <v>2872717.63</v>
      </c>
      <c r="G17" s="31">
        <f t="shared" si="2"/>
        <v>0</v>
      </c>
      <c r="H17" s="31">
        <v>46389109.729999997</v>
      </c>
      <c r="J17" s="31">
        <v>34553514.590000004</v>
      </c>
      <c r="K17" s="31">
        <v>1277875.26</v>
      </c>
      <c r="M17" s="31">
        <v>2547540.34</v>
      </c>
      <c r="O17" s="31">
        <f t="shared" si="3"/>
        <v>0</v>
      </c>
      <c r="P17" s="31">
        <v>38378930.189999998</v>
      </c>
    </row>
    <row r="18" spans="1:16" x14ac:dyDescent="0.35">
      <c r="A18" s="44" t="str">
        <f xml:space="preserve"> _xll.EPMOlapMemberO("[PRODUCT].[PARENTH1].[SBF]","","Ontruzant","","000")</f>
        <v>Ontruzant</v>
      </c>
      <c r="B18" s="31">
        <v>7295007.5800000001</v>
      </c>
      <c r="C18" s="31">
        <v>1033121.57</v>
      </c>
      <c r="E18" s="31">
        <v>13445276.16</v>
      </c>
      <c r="F18" s="31">
        <v>594160</v>
      </c>
      <c r="G18" s="31">
        <f t="shared" si="2"/>
        <v>0</v>
      </c>
      <c r="H18" s="31">
        <v>22367565.309999999</v>
      </c>
      <c r="J18" s="31">
        <v>3716186.63</v>
      </c>
      <c r="K18" s="31">
        <v>167343.94</v>
      </c>
      <c r="M18" s="31">
        <v>18546486.550000001</v>
      </c>
      <c r="O18" s="31">
        <f t="shared" si="3"/>
        <v>0</v>
      </c>
      <c r="P18" s="31">
        <v>22430017.120000001</v>
      </c>
    </row>
    <row r="19" spans="1:16" x14ac:dyDescent="0.35">
      <c r="A19" s="44" t="str">
        <f xml:space="preserve"> _xll.EPMOlapMemberO("[PRODUCT].[PARENTH1].[ETA]","","Brenzys","","000")</f>
        <v>Brenzys</v>
      </c>
      <c r="C19" s="31">
        <v>4294856.03</v>
      </c>
      <c r="E19" s="31">
        <v>8242912.71</v>
      </c>
      <c r="F19" s="31">
        <v>1889104.17</v>
      </c>
      <c r="G19" s="31">
        <f t="shared" si="2"/>
        <v>0</v>
      </c>
      <c r="H19" s="31">
        <v>14426872.91</v>
      </c>
      <c r="K19" s="31">
        <v>3924671.9</v>
      </c>
      <c r="M19" s="31">
        <v>4709694.57</v>
      </c>
      <c r="N19" s="31">
        <v>1663876.6</v>
      </c>
      <c r="O19" s="31">
        <f t="shared" si="3"/>
        <v>0</v>
      </c>
      <c r="P19" s="31">
        <v>10298243.07</v>
      </c>
    </row>
    <row r="20" spans="1:16" x14ac:dyDescent="0.35">
      <c r="A20" s="44" t="str">
        <f xml:space="preserve"> _xll.EPMOlapMemberO("[PRODUCT].[PARENTH1].[SBE]","","Aybintio","","000")</f>
        <v>Aybintio</v>
      </c>
      <c r="E20" s="31">
        <v>9643629.8000000007</v>
      </c>
      <c r="H20" s="31">
        <v>9643629.8000000007</v>
      </c>
      <c r="M20" s="31">
        <v>7640413.6799999997</v>
      </c>
      <c r="P20" s="31">
        <v>7640413.6799999997</v>
      </c>
    </row>
    <row r="21" spans="1:16" x14ac:dyDescent="0.35">
      <c r="A21" s="44" t="str">
        <f xml:space="preserve"> _xll.EPMOlapMemberO("[PRODUCT].[PARENTH1].[ADA]","","Hadlima","","000")</f>
        <v>Hadlima</v>
      </c>
      <c r="C21" s="31">
        <v>800760.29</v>
      </c>
      <c r="E21" s="31">
        <v>4685045.3899999997</v>
      </c>
      <c r="F21" s="31">
        <v>190575.6</v>
      </c>
      <c r="H21" s="31">
        <v>5676381.2800000003</v>
      </c>
      <c r="K21" s="31">
        <v>1717794.22</v>
      </c>
      <c r="M21" s="31">
        <v>201438.26</v>
      </c>
      <c r="P21" s="31">
        <v>1919232.48</v>
      </c>
    </row>
    <row r="22" spans="1:16" x14ac:dyDescent="0.35">
      <c r="A22" s="33" t="s">
        <v>56</v>
      </c>
      <c r="B22" s="31">
        <f>(B23-SUM(B17:B21))</f>
        <v>7.4505805969238281E-9</v>
      </c>
      <c r="C22" s="31">
        <f t="shared" ref="C22:H22" si="5">(C23-SUM(C17:C21))</f>
        <v>0</v>
      </c>
      <c r="D22" s="31">
        <f t="shared" si="5"/>
        <v>0</v>
      </c>
      <c r="E22" s="31">
        <f t="shared" si="5"/>
        <v>5.0000004470348358E-2</v>
      </c>
      <c r="F22" s="31">
        <f t="shared" si="5"/>
        <v>0</v>
      </c>
      <c r="G22" s="31">
        <f t="shared" si="5"/>
        <v>0</v>
      </c>
      <c r="H22" s="31">
        <f t="shared" si="5"/>
        <v>5.0000011920928955E-2</v>
      </c>
      <c r="J22" s="31">
        <f>(J23-SUM(J17:J21))</f>
        <v>-7.4505805969238281E-9</v>
      </c>
      <c r="K22" s="31">
        <f t="shared" ref="K22:P22" si="6">(K23-SUM(K17:K21))</f>
        <v>9.3132257461547852E-10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6"/>
        <v>0</v>
      </c>
      <c r="P22" s="31">
        <f t="shared" si="6"/>
        <v>0</v>
      </c>
    </row>
    <row r="23" spans="1:16" s="36" customFormat="1" x14ac:dyDescent="0.35">
      <c r="A23" s="45" t="str">
        <f xml:space="preserve"> _xll.EPMOlapMemberO("[PRODUCT].[PARENTH1].[PROJECT_SONG]","","Biosimilars - Total","","000")</f>
        <v>Biosimilars - Total</v>
      </c>
      <c r="B23" s="35">
        <v>49342204.700000003</v>
      </c>
      <c r="C23" s="35">
        <v>7597932.8700000001</v>
      </c>
      <c r="D23" s="35"/>
      <c r="E23" s="35">
        <v>38889581.740000002</v>
      </c>
      <c r="F23" s="35">
        <v>2673839.77</v>
      </c>
      <c r="G23" s="35">
        <f t="shared" si="2"/>
        <v>0</v>
      </c>
      <c r="H23" s="35">
        <v>98503559.079999998</v>
      </c>
      <c r="I23" s="35"/>
      <c r="J23" s="35">
        <v>38269701.219999999</v>
      </c>
      <c r="K23" s="35">
        <v>7087685.3200000003</v>
      </c>
      <c r="L23" s="35"/>
      <c r="M23" s="35">
        <v>33645573.399999999</v>
      </c>
      <c r="N23" s="35">
        <v>1663876.6</v>
      </c>
      <c r="O23" s="35">
        <f t="shared" si="3"/>
        <v>0</v>
      </c>
      <c r="P23" s="35">
        <v>80666836.540000007</v>
      </c>
    </row>
    <row r="24" spans="1:16" x14ac:dyDescent="0.35">
      <c r="A24" s="47" t="str">
        <f xml:space="preserve"> _xll.EPMOlapMemberO("[PRODUCT].[PARENTH1].[ZETIA]","","Zetia Products","","000")</f>
        <v>Zetia Products</v>
      </c>
      <c r="B24" s="31">
        <v>3164757.49</v>
      </c>
      <c r="C24" s="31">
        <v>22294572.34</v>
      </c>
      <c r="D24" s="31">
        <v>46110220</v>
      </c>
      <c r="E24" s="31">
        <v>22220385.32</v>
      </c>
      <c r="F24" s="31">
        <v>5580169.75</v>
      </c>
      <c r="G24" s="31">
        <f t="shared" si="2"/>
        <v>0</v>
      </c>
      <c r="H24" s="31">
        <v>99370104.900000006</v>
      </c>
      <c r="J24" s="31">
        <v>2382702.23</v>
      </c>
      <c r="K24" s="31">
        <v>18638177.809999999</v>
      </c>
      <c r="L24" s="31">
        <v>38604731.57</v>
      </c>
      <c r="M24" s="31">
        <v>25733763.079999998</v>
      </c>
      <c r="N24" s="31">
        <v>6497948.7199999997</v>
      </c>
      <c r="O24" s="31">
        <f t="shared" si="3"/>
        <v>0</v>
      </c>
      <c r="P24" s="31">
        <v>91857323.409999996</v>
      </c>
    </row>
    <row r="25" spans="1:16" x14ac:dyDescent="0.35">
      <c r="A25" s="47" t="str">
        <f xml:space="preserve"> _xll.EPMOlapMemberO("[PRODUCT].[PARENTH1].[VYTORIN]","","Vytorin Products","","000")</f>
        <v>Vytorin Products</v>
      </c>
      <c r="B25" s="31">
        <v>1699131.21</v>
      </c>
      <c r="C25" s="31">
        <v>9394123.6999999993</v>
      </c>
      <c r="D25" s="31">
        <v>210613</v>
      </c>
      <c r="E25" s="31">
        <v>18585828.699999999</v>
      </c>
      <c r="F25" s="31">
        <v>7662109.6299999999</v>
      </c>
      <c r="G25" s="31">
        <f t="shared" si="2"/>
        <v>-1599.6200000047684</v>
      </c>
      <c r="H25" s="31">
        <v>37550206.619999997</v>
      </c>
      <c r="J25" s="31">
        <v>2584835.19</v>
      </c>
      <c r="K25" s="31">
        <v>10517888.880000001</v>
      </c>
      <c r="L25" s="31">
        <v>339032.96</v>
      </c>
      <c r="M25" s="31">
        <v>18634150.920000002</v>
      </c>
      <c r="N25" s="31">
        <v>8698749.9000000004</v>
      </c>
      <c r="O25" s="31">
        <f t="shared" si="3"/>
        <v>0</v>
      </c>
      <c r="P25" s="31">
        <v>40774657.850000001</v>
      </c>
    </row>
    <row r="26" spans="1:16" x14ac:dyDescent="0.35">
      <c r="A26" s="43" t="str">
        <f xml:space="preserve"> _xll.EPMOlapMemberO("[PRODUCT].[PARENTH1].[LIPTRUZET]","","Atozet Products","","000")</f>
        <v>Atozet Products</v>
      </c>
      <c r="C26" s="31">
        <v>36097246.270000003</v>
      </c>
      <c r="E26" s="31">
        <v>74585764.739999995</v>
      </c>
      <c r="F26" s="31">
        <v>7835954.7000000002</v>
      </c>
      <c r="G26" s="31">
        <f t="shared" si="2"/>
        <v>0</v>
      </c>
      <c r="H26" s="31">
        <v>118518965.70999999</v>
      </c>
      <c r="K26" s="31">
        <v>35989897.850000001</v>
      </c>
      <c r="M26" s="31">
        <v>70429121.170000002</v>
      </c>
      <c r="N26" s="31">
        <v>5338877.47</v>
      </c>
      <c r="O26" s="31">
        <f t="shared" si="3"/>
        <v>0</v>
      </c>
      <c r="P26" s="31">
        <v>111757896.48999999</v>
      </c>
    </row>
    <row r="27" spans="1:16" x14ac:dyDescent="0.35">
      <c r="A27" s="43" t="str">
        <f xml:space="preserve"> _xll.EPMOlapMemberO("[PRODUCT].[PARENTH1].[ROSPROD]","","Rosuzet Products","","000")</f>
        <v>Rosuzet Products</v>
      </c>
      <c r="C27" s="31">
        <v>22248117.620000001</v>
      </c>
      <c r="F27" s="31">
        <v>67748.710000000006</v>
      </c>
      <c r="G27" s="31">
        <f>H27-SUM(B27:F27)</f>
        <v>0</v>
      </c>
      <c r="H27" s="31">
        <v>22315866.329999998</v>
      </c>
      <c r="K27" s="31">
        <v>14997879.27</v>
      </c>
      <c r="N27" s="31">
        <v>500931.71</v>
      </c>
      <c r="O27" s="31">
        <f>P27-SUM(J27:N27)</f>
        <v>0</v>
      </c>
      <c r="P27" s="31">
        <v>15498810.98</v>
      </c>
    </row>
    <row r="28" spans="1:16" x14ac:dyDescent="0.35">
      <c r="A28" s="44" t="str">
        <f xml:space="preserve"> _xll.EPMOlapMemberO("[PRODUCT].[PARENTH1].[COZAAR_HYZAAR]","","Cozaar Hyzaar Products","","000")</f>
        <v>Cozaar Hyzaar Products</v>
      </c>
      <c r="B28" s="31">
        <v>7841560.5300000003</v>
      </c>
      <c r="C28" s="31">
        <v>26089089.649999999</v>
      </c>
      <c r="D28" s="31">
        <v>37834645.490000002</v>
      </c>
      <c r="E28" s="31">
        <v>13686023.49</v>
      </c>
      <c r="F28" s="31">
        <v>7923586.7699999996</v>
      </c>
      <c r="G28" s="31">
        <f t="shared" si="2"/>
        <v>0</v>
      </c>
      <c r="H28" s="31">
        <v>93374905.930000007</v>
      </c>
      <c r="J28" s="31">
        <v>3383517.41</v>
      </c>
      <c r="K28" s="31">
        <v>27394210.239999998</v>
      </c>
      <c r="L28" s="31">
        <v>42201574.549999997</v>
      </c>
      <c r="M28" s="31">
        <v>9256124.4399999995</v>
      </c>
      <c r="N28" s="31">
        <v>8205872.9400000004</v>
      </c>
      <c r="O28" s="31">
        <f t="shared" si="3"/>
        <v>0</v>
      </c>
      <c r="P28" s="31">
        <v>90441299.579999998</v>
      </c>
    </row>
    <row r="29" spans="1:16" hidden="1" x14ac:dyDescent="0.35">
      <c r="A29" s="44" t="str">
        <f xml:space="preserve"> _xll.EPMOlapMemberO("[PRODUCT].[PARENTH1].[ZOCOR]","","Zocor Products","","000")</f>
        <v>Zocor Products</v>
      </c>
      <c r="B29" s="31">
        <v>968343.37</v>
      </c>
      <c r="C29" s="31">
        <v>2755924.03</v>
      </c>
      <c r="D29" s="31">
        <v>2313265</v>
      </c>
      <c r="E29" s="31">
        <v>3925242.71</v>
      </c>
      <c r="F29" s="31">
        <v>2020943.98</v>
      </c>
      <c r="G29" s="31">
        <f t="shared" si="2"/>
        <v>0</v>
      </c>
      <c r="H29" s="31">
        <v>11983719.09</v>
      </c>
      <c r="J29" s="31">
        <v>1008660.45</v>
      </c>
      <c r="K29" s="31">
        <v>3349462.02</v>
      </c>
      <c r="L29" s="31">
        <v>3004814.3</v>
      </c>
      <c r="M29" s="31">
        <v>4497749.49</v>
      </c>
      <c r="N29" s="31">
        <v>2701195.13</v>
      </c>
      <c r="O29" s="31">
        <f t="shared" si="3"/>
        <v>0</v>
      </c>
      <c r="P29" s="31">
        <v>14561881.390000001</v>
      </c>
    </row>
    <row r="30" spans="1:16" x14ac:dyDescent="0.35">
      <c r="A30" s="33" t="s">
        <v>57</v>
      </c>
      <c r="B30" s="31">
        <f>(B31-SUM(B24:B28))</f>
        <v>968343.36999999918</v>
      </c>
      <c r="C30" s="31">
        <f t="shared" ref="C30:H30" si="7">(C31-SUM(C24:C28))</f>
        <v>10474764.25999999</v>
      </c>
      <c r="D30" s="31">
        <f t="shared" si="7"/>
        <v>2316086.9999999851</v>
      </c>
      <c r="E30" s="31">
        <f t="shared" si="7"/>
        <v>17353257.500000015</v>
      </c>
      <c r="F30" s="31">
        <f t="shared" si="7"/>
        <v>7540034.1500000022</v>
      </c>
      <c r="G30" s="31">
        <f t="shared" si="7"/>
        <v>0</v>
      </c>
      <c r="H30" s="31">
        <f t="shared" si="7"/>
        <v>38652486.279999971</v>
      </c>
      <c r="J30" s="31">
        <f>(J31-SUM(J24:J28))</f>
        <v>1008660.4499999993</v>
      </c>
      <c r="K30" s="31">
        <f t="shared" ref="K30:P30" si="8">(K31-SUM(K24:K28))</f>
        <v>10164664.620000005</v>
      </c>
      <c r="L30" s="31">
        <f t="shared" si="8"/>
        <v>3007609.8200000077</v>
      </c>
      <c r="M30" s="31">
        <f t="shared" si="8"/>
        <v>17791281.359999999</v>
      </c>
      <c r="N30" s="31">
        <f t="shared" si="8"/>
        <v>6639542.9499999955</v>
      </c>
      <c r="O30" s="31">
        <f t="shared" si="8"/>
        <v>0</v>
      </c>
      <c r="P30" s="31">
        <f t="shared" si="8"/>
        <v>38611759.199999988</v>
      </c>
    </row>
    <row r="31" spans="1:16" s="36" customFormat="1" x14ac:dyDescent="0.35">
      <c r="A31" s="48" t="str">
        <f xml:space="preserve"> _xll.EPMOlapMemberO("[PRODUCT].[PARENTH1].[HYPERTENSION]","","Established Cardiovascular","","000")</f>
        <v>Established Cardiovascular</v>
      </c>
      <c r="B31" s="35">
        <v>13673792.6</v>
      </c>
      <c r="C31" s="35">
        <v>126597913.84</v>
      </c>
      <c r="D31" s="35">
        <v>86471565.489999995</v>
      </c>
      <c r="E31" s="35">
        <v>146431259.75</v>
      </c>
      <c r="F31" s="35">
        <v>36609603.710000001</v>
      </c>
      <c r="G31" s="35">
        <f t="shared" si="2"/>
        <v>-1599.6200000047684</v>
      </c>
      <c r="H31" s="35">
        <v>409782535.76999998</v>
      </c>
      <c r="I31" s="35"/>
      <c r="J31" s="35">
        <v>9359715.2799999993</v>
      </c>
      <c r="K31" s="35">
        <v>117702718.67</v>
      </c>
      <c r="L31" s="35">
        <v>84152948.900000006</v>
      </c>
      <c r="M31" s="35">
        <v>141844440.97</v>
      </c>
      <c r="N31" s="35">
        <v>35881923.689999998</v>
      </c>
      <c r="O31" s="35">
        <f t="shared" si="3"/>
        <v>0</v>
      </c>
      <c r="P31" s="35">
        <v>388941747.50999999</v>
      </c>
    </row>
    <row r="32" spans="1:16" x14ac:dyDescent="0.35">
      <c r="A32" s="44" t="str">
        <f xml:space="preserve"> _xll.EPMOlapMemberO("[PRODUCT].[PARENTH1].[SINGULAIRPROD]","","Singulair Products","","000")</f>
        <v>Singulair Products</v>
      </c>
      <c r="B32" s="31">
        <v>2684244.38</v>
      </c>
      <c r="C32" s="31">
        <v>50095058.200000003</v>
      </c>
      <c r="D32" s="31">
        <v>47926355</v>
      </c>
      <c r="E32" s="31">
        <v>15140073.26</v>
      </c>
      <c r="F32" s="31">
        <v>13783189.32</v>
      </c>
      <c r="G32" s="31">
        <f t="shared" si="2"/>
        <v>0</v>
      </c>
      <c r="H32" s="31">
        <v>129628920.16</v>
      </c>
      <c r="J32" s="31">
        <v>4516357.28</v>
      </c>
      <c r="K32" s="31">
        <v>37444048.149999999</v>
      </c>
      <c r="L32" s="31">
        <v>38343984.770000003</v>
      </c>
      <c r="M32" s="31">
        <v>17958181.489999998</v>
      </c>
      <c r="N32" s="31">
        <v>8698674.6300000008</v>
      </c>
      <c r="O32" s="31">
        <f t="shared" si="3"/>
        <v>0</v>
      </c>
      <c r="P32" s="31">
        <v>106961246.31999999</v>
      </c>
    </row>
    <row r="33" spans="1:17" x14ac:dyDescent="0.35">
      <c r="A33" s="44" t="str">
        <f xml:space="preserve"> _xll.EPMOlapMemberO("[PRODUCT].[PARENTH1].[NASONEX]","","Nasonex Products","","000")</f>
        <v>Nasonex Products</v>
      </c>
      <c r="B33" s="31">
        <v>9426732.7799999993</v>
      </c>
      <c r="C33" s="31">
        <v>12686066.23</v>
      </c>
      <c r="D33" s="31">
        <v>18557486.77</v>
      </c>
      <c r="E33" s="31">
        <v>14442772.050000001</v>
      </c>
      <c r="F33" s="31">
        <v>19295007.059999999</v>
      </c>
      <c r="G33" s="31">
        <f t="shared" si="2"/>
        <v>517302</v>
      </c>
      <c r="H33" s="31">
        <v>74925366.890000001</v>
      </c>
      <c r="J33" s="31">
        <v>1974184.21</v>
      </c>
      <c r="K33" s="31">
        <v>4982239.67</v>
      </c>
      <c r="L33" s="31">
        <v>11862266.359999999</v>
      </c>
      <c r="M33" s="31">
        <v>10297780.66</v>
      </c>
      <c r="N33" s="31">
        <v>13941035.960000001</v>
      </c>
      <c r="O33" s="31">
        <f t="shared" si="3"/>
        <v>0</v>
      </c>
      <c r="P33" s="31">
        <v>43057506.859999999</v>
      </c>
    </row>
    <row r="34" spans="1:17" x14ac:dyDescent="0.35">
      <c r="A34" s="44" t="str">
        <f xml:space="preserve"> _xll.EPMOlapMemberO("[PRODUCT].[PARENTH1].[XFV]","","Dulera","","000")</f>
        <v>Dulera</v>
      </c>
      <c r="B34" s="31">
        <v>31083807.469999999</v>
      </c>
      <c r="E34" s="31">
        <v>8853747.6500000004</v>
      </c>
      <c r="F34" s="31">
        <v>187830.81</v>
      </c>
      <c r="G34" s="31">
        <f t="shared" si="2"/>
        <v>0</v>
      </c>
      <c r="H34" s="31">
        <v>40125385.93</v>
      </c>
      <c r="J34" s="31">
        <v>30721166.579999998</v>
      </c>
      <c r="M34" s="31">
        <v>7598615.3200000003</v>
      </c>
      <c r="N34" s="31">
        <v>137319.72</v>
      </c>
      <c r="O34" s="31">
        <f t="shared" si="3"/>
        <v>0</v>
      </c>
      <c r="P34" s="31">
        <v>38457101.619999997</v>
      </c>
    </row>
    <row r="35" spans="1:17" x14ac:dyDescent="0.35">
      <c r="A35" s="44" t="str">
        <f xml:space="preserve"> _xll.EPMOlapMemberO("[PRODUCT].[PARENTH1].[CLARINEX_AERIUS]","","Clarinex_Aerius","","000")</f>
        <v>Clarinex_Aerius</v>
      </c>
      <c r="B35" s="31">
        <v>1402469.15</v>
      </c>
      <c r="C35" s="31">
        <v>11258218.15</v>
      </c>
      <c r="D35" s="31">
        <v>58601</v>
      </c>
      <c r="E35" s="31">
        <v>17800870.5</v>
      </c>
      <c r="F35" s="31">
        <v>7658788.9900000002</v>
      </c>
      <c r="G35" s="31">
        <f t="shared" si="2"/>
        <v>0</v>
      </c>
      <c r="H35" s="31">
        <v>38178947.789999999</v>
      </c>
      <c r="J35" s="31">
        <v>1481348.15</v>
      </c>
      <c r="K35" s="31">
        <v>2677894.48</v>
      </c>
      <c r="L35" s="31">
        <v>33185.230000000003</v>
      </c>
      <c r="M35" s="31">
        <v>14475958.470000001</v>
      </c>
      <c r="N35" s="31">
        <v>5955682.9100000001</v>
      </c>
      <c r="O35" s="31">
        <f t="shared" si="3"/>
        <v>0</v>
      </c>
      <c r="P35" s="31">
        <v>24624069.239999998</v>
      </c>
    </row>
    <row r="36" spans="1:17" hidden="1" x14ac:dyDescent="0.35">
      <c r="A36" s="44" t="str">
        <f xml:space="preserve"> _xll.EPMOlapMemberO("[PRODUCT].[PARENTH1].[XAF]","","Asmanex","","000")</f>
        <v>Asmanex</v>
      </c>
      <c r="B36" s="31">
        <v>11779363.369999999</v>
      </c>
      <c r="C36" s="31">
        <v>388695.47</v>
      </c>
      <c r="E36" s="31">
        <v>1077689.26</v>
      </c>
      <c r="F36" s="31">
        <v>11255.88</v>
      </c>
      <c r="G36" s="31">
        <f t="shared" si="2"/>
        <v>216504</v>
      </c>
      <c r="H36" s="31">
        <v>13473507.98</v>
      </c>
      <c r="J36" s="31">
        <v>16146263.1</v>
      </c>
      <c r="K36" s="31">
        <v>503615.26</v>
      </c>
      <c r="M36" s="31">
        <v>1350034.44</v>
      </c>
      <c r="N36" s="31">
        <v>27455.119999999999</v>
      </c>
      <c r="O36" s="31">
        <f t="shared" si="3"/>
        <v>0</v>
      </c>
      <c r="P36" s="31">
        <v>18027367.920000002</v>
      </c>
    </row>
    <row r="37" spans="1:17" x14ac:dyDescent="0.35">
      <c r="A37" s="33" t="s">
        <v>58</v>
      </c>
      <c r="B37" s="31">
        <f>(B38-SUM(B32:B36))</f>
        <v>7.4505805969238281E-9</v>
      </c>
      <c r="C37" s="31">
        <f>(C38-SUM(C32:C36))</f>
        <v>6751282.6799999923</v>
      </c>
      <c r="D37" s="31">
        <f>(D38-SUM(D32:D35))</f>
        <v>7.4505805969238281E-9</v>
      </c>
      <c r="E37" s="31">
        <f t="shared" ref="E37:H37" si="9">(E38-SUM(E32:E35))</f>
        <v>1473962.4200000018</v>
      </c>
      <c r="F37" s="31">
        <f t="shared" si="9"/>
        <v>1728048.9799999967</v>
      </c>
      <c r="G37" s="31">
        <f t="shared" si="9"/>
        <v>216504</v>
      </c>
      <c r="H37" s="31">
        <f t="shared" si="9"/>
        <v>22337856.919999957</v>
      </c>
      <c r="J37" s="31">
        <f>(J38-SUM(J32:J35))</f>
        <v>16294454.590000004</v>
      </c>
      <c r="K37" s="31">
        <f t="shared" ref="K37:P37" si="10">(K38-SUM(K32:K35))</f>
        <v>3093976.4700000063</v>
      </c>
      <c r="L37" s="31">
        <f t="shared" si="10"/>
        <v>0</v>
      </c>
      <c r="M37" s="31">
        <f t="shared" si="10"/>
        <v>1867558.7400000021</v>
      </c>
      <c r="N37" s="31">
        <f t="shared" si="10"/>
        <v>1328117.1499999985</v>
      </c>
      <c r="O37" s="31">
        <f t="shared" si="10"/>
        <v>0</v>
      </c>
      <c r="P37" s="31">
        <f t="shared" si="10"/>
        <v>22584106.949999988</v>
      </c>
    </row>
    <row r="38" spans="1:17" s="36" customFormat="1" x14ac:dyDescent="0.35">
      <c r="A38" s="48" t="str">
        <f xml:space="preserve"> _xll.EPMOlapMemberO("[PRODUCT].[PARENTH1].[LEGACY_RESP]","","Established Respiratory","","000")</f>
        <v>Established Respiratory</v>
      </c>
      <c r="B38" s="35">
        <v>56376617.149999999</v>
      </c>
      <c r="C38" s="35">
        <v>81179320.730000004</v>
      </c>
      <c r="D38" s="35">
        <v>66542442.770000003</v>
      </c>
      <c r="E38" s="35">
        <v>57711425.880000003</v>
      </c>
      <c r="F38" s="35">
        <v>42652865.159999996</v>
      </c>
      <c r="G38" s="35">
        <f t="shared" si="2"/>
        <v>733806</v>
      </c>
      <c r="H38" s="35">
        <v>305196477.69</v>
      </c>
      <c r="I38" s="35"/>
      <c r="J38" s="35">
        <v>54987510.810000002</v>
      </c>
      <c r="K38" s="35">
        <v>48198158.770000003</v>
      </c>
      <c r="L38" s="35">
        <v>50239436.359999999</v>
      </c>
      <c r="M38" s="35">
        <v>52198094.68</v>
      </c>
      <c r="N38" s="35">
        <v>30060830.370000001</v>
      </c>
      <c r="O38" s="35">
        <f t="shared" si="3"/>
        <v>0</v>
      </c>
      <c r="P38" s="35">
        <v>235684030.99000001</v>
      </c>
    </row>
    <row r="39" spans="1:17" x14ac:dyDescent="0.35">
      <c r="A39" s="43" t="str">
        <f xml:space="preserve"> _xll.EPMOlapMemberO("[PRODUCT].[PARENTH1].[ARCOXIA]","","Arcoxia Products","","000")</f>
        <v>Arcoxia Products</v>
      </c>
      <c r="C39" s="31">
        <v>12231081.76</v>
      </c>
      <c r="D39" s="31">
        <v>9664664</v>
      </c>
      <c r="E39" s="31">
        <v>16050399.390000001</v>
      </c>
      <c r="F39" s="31">
        <v>22383601.800000001</v>
      </c>
      <c r="G39" s="31">
        <f t="shared" si="2"/>
        <v>0</v>
      </c>
      <c r="H39" s="31">
        <v>60329746.950000003</v>
      </c>
      <c r="K39" s="31">
        <v>11543499.09</v>
      </c>
      <c r="L39" s="31">
        <v>7789692.1200000001</v>
      </c>
      <c r="M39" s="31">
        <v>15989439.75</v>
      </c>
      <c r="N39" s="31">
        <v>20898469.079999998</v>
      </c>
      <c r="O39" s="31">
        <f t="shared" si="3"/>
        <v>0</v>
      </c>
      <c r="P39" s="31">
        <v>56221100.039999999</v>
      </c>
    </row>
    <row r="40" spans="1:17" x14ac:dyDescent="0.35">
      <c r="A40" s="43" t="str">
        <f xml:space="preserve"> _xll.EPMOlapMemberO("[PRODUCT].[PARENTH1].[FOSOMAXPROD]","","Fosamax Products","","000")</f>
        <v>Fosamax Products</v>
      </c>
      <c r="B40" s="31">
        <v>785325.18</v>
      </c>
      <c r="C40" s="31">
        <v>11648650.49</v>
      </c>
      <c r="D40" s="31">
        <v>14575235</v>
      </c>
      <c r="E40" s="31">
        <v>9942045.6300000008</v>
      </c>
      <c r="F40" s="31">
        <v>3815191.57</v>
      </c>
      <c r="G40" s="31">
        <f t="shared" si="2"/>
        <v>0</v>
      </c>
      <c r="H40" s="31">
        <v>40766447.869999997</v>
      </c>
      <c r="J40" s="31">
        <v>876008.27</v>
      </c>
      <c r="K40" s="31">
        <v>11027769.550000001</v>
      </c>
      <c r="L40" s="31">
        <v>11036958.880000001</v>
      </c>
      <c r="M40" s="31">
        <v>11093466.48</v>
      </c>
      <c r="N40" s="31">
        <v>3658259.74</v>
      </c>
      <c r="O40" s="31">
        <f t="shared" si="3"/>
        <v>0</v>
      </c>
      <c r="P40" s="31">
        <v>37692462.920000002</v>
      </c>
    </row>
    <row r="41" spans="1:17" x14ac:dyDescent="0.35">
      <c r="A41" s="47" t="str">
        <f xml:space="preserve"> _xll.EPMOlapMemberO("[PRODUCT].[PARENTH1].[XDP]","","Diprospan","","000")</f>
        <v>Diprospan</v>
      </c>
      <c r="C41" s="31">
        <v>674523.66</v>
      </c>
      <c r="D41" s="31">
        <v>6351690</v>
      </c>
      <c r="E41" s="31">
        <v>6109723.9900000002</v>
      </c>
      <c r="F41" s="31">
        <v>18300319.420000002</v>
      </c>
      <c r="G41" s="31">
        <f t="shared" si="2"/>
        <v>0</v>
      </c>
      <c r="H41" s="31">
        <v>31436257.07</v>
      </c>
      <c r="K41" s="31">
        <v>533796.12</v>
      </c>
      <c r="L41" s="31">
        <v>3776808.48</v>
      </c>
      <c r="M41" s="31">
        <v>5742336.7300000004</v>
      </c>
      <c r="N41" s="31">
        <v>15864734.83</v>
      </c>
      <c r="O41" s="31">
        <f t="shared" si="3"/>
        <v>0</v>
      </c>
      <c r="P41" s="31">
        <v>25917676.16</v>
      </c>
    </row>
    <row r="42" spans="1:17" hidden="1" x14ac:dyDescent="0.35">
      <c r="A42" s="43" t="str">
        <f xml:space="preserve"> _xll.EPMOlapMemberO("[PRODUCT].[PARENTH1].[XDI]","","Diprosone","","000")</f>
        <v>Diprosone</v>
      </c>
      <c r="B42" s="31">
        <v>62178.96</v>
      </c>
      <c r="C42" s="31">
        <v>4205837.9400000004</v>
      </c>
      <c r="E42" s="31">
        <v>12447803.800000001</v>
      </c>
      <c r="F42" s="31">
        <v>2571059.77</v>
      </c>
      <c r="G42" s="31">
        <f t="shared" si="2"/>
        <v>0</v>
      </c>
      <c r="H42" s="31">
        <v>19286880.469999999</v>
      </c>
      <c r="J42" s="31">
        <v>305523.18</v>
      </c>
      <c r="K42" s="31">
        <v>4885269.5</v>
      </c>
      <c r="M42" s="31">
        <v>13106596.300000001</v>
      </c>
      <c r="N42" s="31">
        <v>1583693.78</v>
      </c>
      <c r="O42" s="31">
        <f t="shared" si="3"/>
        <v>0</v>
      </c>
      <c r="P42" s="31">
        <v>19881082.760000002</v>
      </c>
    </row>
    <row r="43" spans="1:17" x14ac:dyDescent="0.35">
      <c r="A43" s="34" t="s">
        <v>59</v>
      </c>
      <c r="B43" s="31">
        <f>(B44-SUM(B39:B41))</f>
        <v>2472004.6599999997</v>
      </c>
      <c r="C43" s="31">
        <f t="shared" ref="C43:H43" si="11">(C44-SUM(C39:C41))</f>
        <v>9688388.2200000025</v>
      </c>
      <c r="D43" s="31">
        <f t="shared" si="11"/>
        <v>0</v>
      </c>
      <c r="E43" s="31">
        <f t="shared" si="11"/>
        <v>40091534.86999999</v>
      </c>
      <c r="F43" s="31">
        <f t="shared" si="11"/>
        <v>16533752.68999999</v>
      </c>
      <c r="G43" s="31">
        <f t="shared" si="11"/>
        <v>0</v>
      </c>
      <c r="H43" s="31">
        <f t="shared" si="11"/>
        <v>68785680.440000027</v>
      </c>
      <c r="J43" s="31">
        <f>(J44-SUM(J39:J41))</f>
        <v>-544888.83000000007</v>
      </c>
      <c r="K43" s="31">
        <f t="shared" ref="K43:P43" si="12">(K44-SUM(K39:K41))</f>
        <v>11132244.830000002</v>
      </c>
      <c r="L43" s="31">
        <f t="shared" si="12"/>
        <v>0</v>
      </c>
      <c r="M43" s="31">
        <f t="shared" si="12"/>
        <v>38335060.710000001</v>
      </c>
      <c r="N43" s="31">
        <f t="shared" si="12"/>
        <v>12071497.719999999</v>
      </c>
      <c r="O43" s="31">
        <f t="shared" si="12"/>
        <v>0</v>
      </c>
      <c r="P43" s="31">
        <f t="shared" si="12"/>
        <v>60993914.430000007</v>
      </c>
      <c r="Q43" s="31">
        <f t="shared" ref="Q43" si="13">Q44-SUM(Q39:Q42)</f>
        <v>0</v>
      </c>
    </row>
    <row r="44" spans="1:17" s="36" customFormat="1" x14ac:dyDescent="0.35">
      <c r="A44" s="48" t="str">
        <f xml:space="preserve"> _xll.EPMOlapMemberO("[PRODUCT].[PARENTH1].[LEGACY_PAIN_BONE_DERM]","","Established Pain, Bone and Derm","","000")</f>
        <v>Established Pain, Bone and Derm</v>
      </c>
      <c r="B44" s="35">
        <v>3257329.84</v>
      </c>
      <c r="C44" s="35">
        <v>34242644.130000003</v>
      </c>
      <c r="D44" s="35">
        <v>30591589</v>
      </c>
      <c r="E44" s="35">
        <v>72193703.879999995</v>
      </c>
      <c r="F44" s="35">
        <v>61032865.479999997</v>
      </c>
      <c r="G44" s="35">
        <f t="shared" si="2"/>
        <v>0</v>
      </c>
      <c r="H44" s="35">
        <v>201318132.33000001</v>
      </c>
      <c r="I44" s="35"/>
      <c r="J44" s="35">
        <v>331119.44</v>
      </c>
      <c r="K44" s="35">
        <v>34237309.590000004</v>
      </c>
      <c r="L44" s="35">
        <v>22603459.48</v>
      </c>
      <c r="M44" s="35">
        <v>71160303.670000002</v>
      </c>
      <c r="N44" s="35">
        <v>52492961.369999997</v>
      </c>
      <c r="O44" s="35">
        <f t="shared" si="3"/>
        <v>0</v>
      </c>
      <c r="P44" s="35">
        <v>180825153.55000001</v>
      </c>
    </row>
    <row r="45" spans="1:17" x14ac:dyDescent="0.35">
      <c r="A45" s="47" t="str">
        <f xml:space="preserve"> _xll.EPMOlapMemberO("[PRODUCT].[PARENTH1].[PROSCARPROD]","","Proscar Products","","000")</f>
        <v>Proscar Products</v>
      </c>
      <c r="B45" s="31">
        <v>331987.46999999997</v>
      </c>
      <c r="C45" s="31">
        <v>4219813.5199999996</v>
      </c>
      <c r="D45" s="31">
        <v>16432138</v>
      </c>
      <c r="E45" s="31">
        <v>2423529.4</v>
      </c>
      <c r="F45" s="31">
        <v>880551.39</v>
      </c>
      <c r="G45" s="31">
        <f t="shared" si="2"/>
        <v>0</v>
      </c>
      <c r="H45" s="31">
        <v>24288019.780000001</v>
      </c>
      <c r="J45" s="31">
        <v>328735.34999999998</v>
      </c>
      <c r="K45" s="31">
        <v>5021284.55</v>
      </c>
      <c r="L45" s="31">
        <v>23308078.699999999</v>
      </c>
      <c r="M45" s="31">
        <v>3006178.72</v>
      </c>
      <c r="N45" s="31">
        <v>644548.28</v>
      </c>
      <c r="O45" s="31">
        <f t="shared" si="3"/>
        <v>0</v>
      </c>
      <c r="P45" s="31">
        <v>32308825.600000001</v>
      </c>
    </row>
    <row r="46" spans="1:17" x14ac:dyDescent="0.35">
      <c r="A46" s="47" t="str">
        <f xml:space="preserve"> _xll.EPMOlapMemberO("[PRODUCT].[PARENTH1].[PROPECIAPROD]","","Propecia Products","","000")</f>
        <v>Propecia Products</v>
      </c>
      <c r="B46" s="31">
        <v>1269951.8999999999</v>
      </c>
      <c r="C46" s="31">
        <v>16072973.58</v>
      </c>
      <c r="D46" s="31">
        <v>8602004</v>
      </c>
      <c r="E46" s="31">
        <v>3184912.56</v>
      </c>
      <c r="F46" s="31">
        <v>1251269.33</v>
      </c>
      <c r="G46" s="31">
        <f t="shared" si="2"/>
        <v>0</v>
      </c>
      <c r="H46" s="31">
        <v>30381111.370000001</v>
      </c>
      <c r="J46" s="31">
        <v>2039420.37</v>
      </c>
      <c r="K46" s="31">
        <v>17412811.25</v>
      </c>
      <c r="L46" s="31">
        <v>7788261.4900000002</v>
      </c>
      <c r="M46" s="31">
        <v>2665422.17</v>
      </c>
      <c r="N46" s="31">
        <v>866881.72</v>
      </c>
      <c r="O46" s="31">
        <f t="shared" si="3"/>
        <v>0</v>
      </c>
      <c r="P46" s="31">
        <v>30772797</v>
      </c>
    </row>
    <row r="47" spans="1:17" hidden="1" x14ac:dyDescent="0.35">
      <c r="A47" s="43" t="str">
        <f xml:space="preserve"> _xll.EPMOlapMemberO("[PRODUCT].[PARENTH1].[SINEMETPROD]","","Sinemet Products","","000")</f>
        <v>Sinemet Products</v>
      </c>
      <c r="B47" s="31">
        <v>-444707.03</v>
      </c>
      <c r="C47" s="31">
        <v>3790269.91</v>
      </c>
      <c r="D47" s="31">
        <v>845413</v>
      </c>
      <c r="E47" s="31">
        <v>12038848.720000001</v>
      </c>
      <c r="F47" s="31">
        <v>829675.15</v>
      </c>
      <c r="G47" s="31">
        <f t="shared" si="2"/>
        <v>0</v>
      </c>
      <c r="H47" s="31">
        <v>17059499.75</v>
      </c>
      <c r="J47" s="31">
        <v>29083.07</v>
      </c>
      <c r="K47" s="31">
        <v>3069072.62</v>
      </c>
      <c r="L47" s="31">
        <v>584514.78</v>
      </c>
      <c r="M47" s="31">
        <v>14024998.58</v>
      </c>
      <c r="N47" s="31">
        <v>373382.93</v>
      </c>
      <c r="O47" s="31">
        <f t="shared" si="3"/>
        <v>0</v>
      </c>
      <c r="P47" s="31">
        <v>18081051.98</v>
      </c>
    </row>
    <row r="48" spans="1:17" hidden="1" x14ac:dyDescent="0.35">
      <c r="A48" s="43" t="str">
        <f xml:space="preserve"> _xll.EPMOlapMemberO("[PRODUCT].[PARENTH1].[XRE]","","Remeron","","000")</f>
        <v>Remeron</v>
      </c>
      <c r="B48" s="31">
        <v>335503.48</v>
      </c>
      <c r="C48" s="31">
        <v>2987912.69</v>
      </c>
      <c r="D48" s="31">
        <v>4829287</v>
      </c>
      <c r="E48" s="31">
        <v>2880444.13</v>
      </c>
      <c r="F48" s="31">
        <v>1897183.69</v>
      </c>
      <c r="G48" s="31">
        <f t="shared" si="2"/>
        <v>0</v>
      </c>
      <c r="H48" s="31">
        <v>12930330.99</v>
      </c>
      <c r="J48" s="31">
        <v>520460.99</v>
      </c>
      <c r="K48" s="31">
        <v>3996188.59</v>
      </c>
      <c r="L48" s="31">
        <v>5127408.1100000003</v>
      </c>
      <c r="M48" s="31">
        <v>5285360.25</v>
      </c>
      <c r="N48" s="31">
        <v>2299965.59</v>
      </c>
      <c r="O48" s="31">
        <f t="shared" si="3"/>
        <v>0</v>
      </c>
      <c r="P48" s="31">
        <v>17229383.530000001</v>
      </c>
    </row>
    <row r="49" spans="1:16" x14ac:dyDescent="0.35">
      <c r="A49" s="34" t="s">
        <v>2</v>
      </c>
      <c r="B49" s="31">
        <f>(B50-SUM(B45:B46))</f>
        <v>7310325.3400000008</v>
      </c>
      <c r="C49" s="31">
        <f t="shared" ref="C49:H49" si="14">(C50-SUM(C45:C46))</f>
        <v>15991734.829999998</v>
      </c>
      <c r="D49" s="31">
        <f t="shared" si="14"/>
        <v>7570153.4499999993</v>
      </c>
      <c r="E49" s="31">
        <f t="shared" si="14"/>
        <v>43402204.060000002</v>
      </c>
      <c r="F49" s="31">
        <f t="shared" si="14"/>
        <v>7381774.9399999995</v>
      </c>
      <c r="G49" s="31">
        <f t="shared" si="14"/>
        <v>259.11999997496605</v>
      </c>
      <c r="H49" s="31">
        <f t="shared" si="14"/>
        <v>81656451.73999998</v>
      </c>
      <c r="J49" s="31">
        <f>(J50-SUM(J45:J46))</f>
        <v>10721065.899999999</v>
      </c>
      <c r="K49" s="31">
        <f t="shared" ref="K49:P49" si="15">(K50-SUM(K45:K46))</f>
        <v>16002970.449999999</v>
      </c>
      <c r="L49" s="31">
        <f t="shared" si="15"/>
        <v>6626773.5900000036</v>
      </c>
      <c r="M49" s="31">
        <f t="shared" si="15"/>
        <v>48870154.560000002</v>
      </c>
      <c r="N49" s="31">
        <f t="shared" si="15"/>
        <v>6618710.3499999996</v>
      </c>
      <c r="O49" s="31">
        <f t="shared" si="15"/>
        <v>90992.149999976158</v>
      </c>
      <c r="P49" s="31">
        <f t="shared" si="15"/>
        <v>88930667</v>
      </c>
    </row>
    <row r="50" spans="1:16" s="36" customFormat="1" x14ac:dyDescent="0.35">
      <c r="A50" s="48" t="str">
        <f xml:space="preserve"> _xll.EPMOlapMemberO("[PRODUCT].[PARENTH1].[LEGACY_OTHER]","","Established Other","","000")</f>
        <v>Established Other</v>
      </c>
      <c r="B50" s="35">
        <v>8912264.7100000009</v>
      </c>
      <c r="C50" s="35">
        <v>36284521.93</v>
      </c>
      <c r="D50" s="35">
        <v>32604295.449999999</v>
      </c>
      <c r="E50" s="35">
        <v>49010646.020000003</v>
      </c>
      <c r="F50" s="35">
        <v>9513595.6600000001</v>
      </c>
      <c r="G50" s="35">
        <f t="shared" si="2"/>
        <v>259.11999997496605</v>
      </c>
      <c r="H50" s="35">
        <v>136325582.88999999</v>
      </c>
      <c r="I50" s="35"/>
      <c r="J50" s="35">
        <v>13089221.619999999</v>
      </c>
      <c r="K50" s="35">
        <v>38437066.25</v>
      </c>
      <c r="L50" s="35">
        <v>37723113.780000001</v>
      </c>
      <c r="M50" s="35">
        <v>54541755.450000003</v>
      </c>
      <c r="N50" s="35">
        <v>8130140.3499999996</v>
      </c>
      <c r="O50" s="35">
        <f t="shared" si="3"/>
        <v>90992.149999976158</v>
      </c>
      <c r="P50" s="35">
        <v>152012289.59999999</v>
      </c>
    </row>
    <row r="51" spans="1:16" x14ac:dyDescent="0.35">
      <c r="A51" s="34"/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f t="shared" si="2"/>
        <v>0</v>
      </c>
      <c r="H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f t="shared" si="3"/>
        <v>0</v>
      </c>
      <c r="P51" s="31">
        <v>0</v>
      </c>
    </row>
    <row r="52" spans="1:16" s="36" customFormat="1" x14ac:dyDescent="0.35">
      <c r="A52" s="50" t="str">
        <f xml:space="preserve"> _xll.EPMOlapMemberO("[PRODUCT].[PARENTH1].[XXX]","","Not Product Specific","","000")</f>
        <v>Not Product Specific</v>
      </c>
      <c r="B52" s="35">
        <v>278228.92</v>
      </c>
      <c r="C52" s="35"/>
      <c r="D52" s="35"/>
      <c r="E52" s="35">
        <v>-4334438.62</v>
      </c>
      <c r="F52" s="35">
        <v>51967.51</v>
      </c>
      <c r="G52" s="35">
        <f t="shared" si="2"/>
        <v>41535365.519999996</v>
      </c>
      <c r="H52" s="35">
        <v>37531123.329999998</v>
      </c>
      <c r="I52" s="35"/>
      <c r="J52" s="35">
        <v>-170112.32</v>
      </c>
      <c r="K52" s="35">
        <v>405.54</v>
      </c>
      <c r="L52" s="35"/>
      <c r="M52" s="35">
        <v>-1509930.06</v>
      </c>
      <c r="N52" s="35">
        <v>-1019567.61</v>
      </c>
      <c r="O52" s="35">
        <f t="shared" si="3"/>
        <v>71298894.760000005</v>
      </c>
      <c r="P52" s="35">
        <v>68599690.310000002</v>
      </c>
    </row>
    <row r="53" spans="1:16" s="36" customFormat="1" hidden="1" x14ac:dyDescent="0.35">
      <c r="A53" s="50" t="str">
        <f xml:space="preserve"> _xll.EPMOlapMemberO("[PRODUCT].[PARENTH1].[TBA]","","To be Allocated","","000")</f>
        <v>To be Allocated</v>
      </c>
      <c r="B53" s="35"/>
      <c r="C53" s="35"/>
      <c r="D53" s="35"/>
      <c r="E53" s="35"/>
      <c r="F53" s="35"/>
      <c r="G53" s="35">
        <f t="shared" si="2"/>
        <v>0</v>
      </c>
      <c r="H53" s="35"/>
      <c r="I53" s="35"/>
      <c r="J53" s="35"/>
      <c r="K53" s="35"/>
      <c r="L53" s="35"/>
      <c r="M53" s="35"/>
      <c r="N53" s="35"/>
      <c r="O53" s="35">
        <f t="shared" si="3"/>
        <v>0</v>
      </c>
      <c r="P53" s="35"/>
    </row>
    <row r="54" spans="1:16" s="36" customFormat="1" x14ac:dyDescent="0.35">
      <c r="A54" s="50" t="str">
        <f xml:space="preserve"> _xll.EPMOlapMemberO("[PRODUCT].[PARENTH1].[MRK_TOT]","","Merck Products","","000")</f>
        <v>Merck Products</v>
      </c>
      <c r="B54" s="35"/>
      <c r="C54" s="35">
        <v>-0.01</v>
      </c>
      <c r="D54" s="35"/>
      <c r="E54" s="35">
        <v>-966.95</v>
      </c>
      <c r="F54" s="35">
        <v>-33.729999999999997</v>
      </c>
      <c r="G54" s="35">
        <f t="shared" si="2"/>
        <v>0</v>
      </c>
      <c r="H54" s="35">
        <v>-1000.69</v>
      </c>
      <c r="I54" s="35"/>
      <c r="J54" s="35"/>
      <c r="K54" s="35"/>
      <c r="L54" s="35"/>
      <c r="M54" s="35"/>
      <c r="N54" s="35"/>
      <c r="O54" s="35">
        <f t="shared" si="3"/>
        <v>0</v>
      </c>
      <c r="P54" s="35"/>
    </row>
    <row r="55" spans="1:16" s="36" customFormat="1" x14ac:dyDescent="0.35">
      <c r="A55" s="41" t="str">
        <f xml:space="preserve"> _xll.EPMOlapMemberO("[PRODUCT].[PARENTH1].[PRODUCT]","","Total NewCo Products","","000")</f>
        <v>Total NewCo Products</v>
      </c>
      <c r="B55" s="35">
        <v>328699943.87</v>
      </c>
      <c r="C55" s="35">
        <v>313956948.57999998</v>
      </c>
      <c r="D55" s="35">
        <v>236230458.08000001</v>
      </c>
      <c r="E55" s="35">
        <v>436426977.57999998</v>
      </c>
      <c r="F55" s="35">
        <v>209033371.13999999</v>
      </c>
      <c r="G55" s="35">
        <f t="shared" si="2"/>
        <v>42267831.019999981</v>
      </c>
      <c r="H55" s="35">
        <v>1566615530.27</v>
      </c>
      <c r="I55" s="35"/>
      <c r="J55" s="35">
        <v>350997347.85000002</v>
      </c>
      <c r="K55" s="35">
        <v>278133589.33999997</v>
      </c>
      <c r="L55" s="35">
        <v>205423958.50999999</v>
      </c>
      <c r="M55" s="35">
        <v>433493265.82999998</v>
      </c>
      <c r="N55" s="35">
        <v>166598153.62</v>
      </c>
      <c r="O55" s="35">
        <f t="shared" si="3"/>
        <v>71389886.909999847</v>
      </c>
      <c r="P55" s="35">
        <v>1506036202.0599999</v>
      </c>
    </row>
    <row r="56" spans="1:16" x14ac:dyDescent="0.35">
      <c r="A56" s="34"/>
    </row>
    <row r="57" spans="1:16" x14ac:dyDescent="0.35">
      <c r="A57" s="34"/>
    </row>
    <row r="58" spans="1:16" hidden="1" x14ac:dyDescent="0.35">
      <c r="A58" s="43" t="str">
        <f xml:space="preserve"> _xll.EPMOlapMemberO("[PRODUCT].[PARENTH1].[BGW]","","Nuvaring AG","","000")</f>
        <v>Nuvaring AG</v>
      </c>
      <c r="B58" s="31">
        <v>10816965</v>
      </c>
      <c r="G58" s="31">
        <f t="shared" si="2"/>
        <v>0</v>
      </c>
      <c r="H58" s="31">
        <v>10816965</v>
      </c>
      <c r="J58" s="31">
        <v>31944707.16</v>
      </c>
      <c r="O58" s="31">
        <v>0</v>
      </c>
      <c r="P58" s="31">
        <v>31944707.16</v>
      </c>
    </row>
    <row r="59" spans="1:16" hidden="1" x14ac:dyDescent="0.35">
      <c r="A59" s="43" t="str">
        <f xml:space="preserve"> _xll.EPMOlapMemberO("[PRODUCT].[PARENTH1].[MERCILON]","","Mercilon Products","","000")</f>
        <v>Mercilon Products</v>
      </c>
      <c r="C59" s="31">
        <v>2779416.88</v>
      </c>
      <c r="E59" s="31">
        <v>2307285.5299999998</v>
      </c>
      <c r="F59" s="31">
        <v>3061723.42</v>
      </c>
      <c r="G59" s="31">
        <f t="shared" si="2"/>
        <v>0</v>
      </c>
      <c r="H59" s="31">
        <v>8148425.8300000001</v>
      </c>
      <c r="K59" s="31">
        <v>3657985.8</v>
      </c>
      <c r="M59" s="31">
        <v>2694361.57</v>
      </c>
      <c r="N59" s="31">
        <v>2419433.86</v>
      </c>
      <c r="O59" s="31">
        <v>0</v>
      </c>
      <c r="P59" s="31">
        <v>8771781.2300000004</v>
      </c>
    </row>
    <row r="60" spans="1:16" hidden="1" x14ac:dyDescent="0.35">
      <c r="A60" s="43" t="str">
        <f xml:space="preserve"> _xll.EPMOlapMemberO("[PRODUCT].[PARENTH1].[XMA]","","Marvelon Desogen","","000")</f>
        <v>Marvelon Desogen</v>
      </c>
      <c r="C60" s="31">
        <v>7509828.25</v>
      </c>
      <c r="D60" s="31">
        <v>1022895.68</v>
      </c>
      <c r="E60" s="31">
        <v>2599915.87</v>
      </c>
      <c r="F60" s="31">
        <v>4254005.4400000004</v>
      </c>
      <c r="G60" s="31">
        <f t="shared" si="2"/>
        <v>0</v>
      </c>
      <c r="H60" s="31">
        <v>15386645.24</v>
      </c>
      <c r="K60" s="31">
        <v>6474996.5800000001</v>
      </c>
      <c r="M60" s="31">
        <v>3193999.61</v>
      </c>
      <c r="N60" s="31">
        <v>4783766.58</v>
      </c>
      <c r="O60" s="31">
        <v>0</v>
      </c>
      <c r="P60" s="31">
        <v>14452762.77</v>
      </c>
    </row>
    <row r="61" spans="1:16" hidden="1" x14ac:dyDescent="0.35">
      <c r="A61" s="43" t="str">
        <f xml:space="preserve"> _xll.EPMOlapMemberO("[PRODUCT].[PARENTH1].[XCE]","","Cerazette","","000")</f>
        <v>Cerazette</v>
      </c>
      <c r="C61" s="31">
        <v>384644.76</v>
      </c>
      <c r="E61" s="31">
        <v>9373222.9100000001</v>
      </c>
      <c r="F61" s="31">
        <v>7747664.0300000003</v>
      </c>
      <c r="G61" s="31">
        <f t="shared" si="2"/>
        <v>0</v>
      </c>
      <c r="H61" s="31">
        <v>17505531.699999999</v>
      </c>
      <c r="K61" s="31">
        <v>444118.78</v>
      </c>
      <c r="M61" s="31">
        <v>11684623.460000001</v>
      </c>
      <c r="N61" s="31">
        <v>4600665.8499999996</v>
      </c>
      <c r="O61" s="31">
        <v>0</v>
      </c>
      <c r="P61" s="31">
        <v>16729408.09</v>
      </c>
    </row>
    <row r="62" spans="1:16" hidden="1" x14ac:dyDescent="0.35">
      <c r="A62" s="43" t="str">
        <f xml:space="preserve"> _xll.EPMOlapMemberO("[PRODUCT].[PARENTH1].[XQQ]","","Desogestrel-Ethinylestradiol","","000")</f>
        <v>Desogestrel-Ethinylestradiol</v>
      </c>
      <c r="G62" s="31">
        <f t="shared" si="2"/>
        <v>0</v>
      </c>
      <c r="N62" s="31">
        <v>468551.67</v>
      </c>
      <c r="O62" s="31">
        <v>0</v>
      </c>
      <c r="P62" s="31">
        <v>468551.67</v>
      </c>
    </row>
    <row r="63" spans="1:16" hidden="1" x14ac:dyDescent="0.35">
      <c r="A63" s="43" t="str">
        <f xml:space="preserve"> _xll.EPMOlapMemberO("[PRODUCT].[PARENTH1].[XLL]","","Exluton","","000")</f>
        <v>Exluton</v>
      </c>
      <c r="C63" s="31">
        <v>359774.27</v>
      </c>
      <c r="E63" s="31">
        <v>483329.72</v>
      </c>
      <c r="F63" s="31">
        <v>246820.01</v>
      </c>
      <c r="G63" s="31">
        <f t="shared" si="2"/>
        <v>0</v>
      </c>
      <c r="H63" s="31">
        <v>1089924</v>
      </c>
      <c r="K63" s="31">
        <v>1225191.8899999999</v>
      </c>
      <c r="M63" s="31">
        <v>311156.26</v>
      </c>
      <c r="N63" s="31">
        <v>192715.66</v>
      </c>
      <c r="O63" s="31">
        <v>0</v>
      </c>
      <c r="P63" s="31">
        <v>1729063.81</v>
      </c>
    </row>
    <row r="64" spans="1:16" hidden="1" x14ac:dyDescent="0.35">
      <c r="A64" s="44" t="str">
        <f xml:space="preserve"> _xll.EPMOlapMemberO("[PRODUCT].[PARENTH1].[CONTRACEPTIVE]","","Contraception","","000")</f>
        <v>Contraception</v>
      </c>
      <c r="B64" s="31">
        <v>143302511.90000001</v>
      </c>
      <c r="C64" s="31">
        <v>16317990.970000001</v>
      </c>
      <c r="D64" s="31">
        <v>1274887.0900000001</v>
      </c>
      <c r="E64" s="31">
        <v>53809019.82</v>
      </c>
      <c r="F64" s="31">
        <v>50039152.030000001</v>
      </c>
      <c r="G64" s="31">
        <f t="shared" si="2"/>
        <v>0</v>
      </c>
      <c r="H64" s="31">
        <v>264743561.81</v>
      </c>
      <c r="J64" s="31">
        <v>193696339.05000001</v>
      </c>
      <c r="K64" s="31">
        <v>18435819.199999999</v>
      </c>
      <c r="L64" s="31">
        <v>76084.47</v>
      </c>
      <c r="M64" s="31">
        <v>57280288</v>
      </c>
      <c r="N64" s="31">
        <v>33112010.879999999</v>
      </c>
      <c r="O64" s="31">
        <v>0</v>
      </c>
      <c r="P64" s="31">
        <v>302600541.60000002</v>
      </c>
    </row>
    <row r="65" spans="1:16" hidden="1" x14ac:dyDescent="0.35">
      <c r="A65" s="49" t="str">
        <f xml:space="preserve"> _xll.EPMOlapMemberO("[PRODUCT].[PARENTH1].[WOMENS_HEALTH_FRANCH]","","Women�s Health Franchise","","000")</f>
        <v>Women�s Health Franchise</v>
      </c>
      <c r="B65" s="31">
        <v>146107369.90000001</v>
      </c>
      <c r="C65" s="31">
        <v>16317990.970000001</v>
      </c>
      <c r="D65" s="31">
        <v>1274887.0900000001</v>
      </c>
      <c r="E65" s="31">
        <v>53809019.82</v>
      </c>
      <c r="F65" s="31">
        <v>50039152.030000001</v>
      </c>
      <c r="G65" s="31">
        <f t="shared" si="2"/>
        <v>0</v>
      </c>
      <c r="H65" s="31">
        <v>267548419.81</v>
      </c>
      <c r="J65" s="31">
        <v>193696339.05000001</v>
      </c>
      <c r="K65" s="31">
        <v>18435819.199999999</v>
      </c>
      <c r="L65" s="31">
        <v>76084.47</v>
      </c>
      <c r="M65" s="31">
        <v>57280288</v>
      </c>
      <c r="N65" s="31">
        <v>33112010.879999999</v>
      </c>
      <c r="O65" s="31">
        <v>0</v>
      </c>
      <c r="P65" s="31">
        <v>302600541.60000002</v>
      </c>
    </row>
    <row r="66" spans="1:16" hidden="1" x14ac:dyDescent="0.35">
      <c r="A66" s="44" t="str">
        <f xml:space="preserve"> _xll.EPMOlapMemberO("[PRODUCT].[PARENTH1].[XGL]","","Orgalutran","","000")</f>
        <v>Orgalutran</v>
      </c>
      <c r="B66" s="31">
        <v>7659637.9500000002</v>
      </c>
      <c r="C66" s="31">
        <v>4072483.25</v>
      </c>
      <c r="D66" s="31">
        <v>5064365.0999999996</v>
      </c>
      <c r="E66" s="31">
        <v>10500114.15</v>
      </c>
      <c r="F66" s="31">
        <v>2380410.3199999998</v>
      </c>
      <c r="G66" s="31">
        <f t="shared" si="2"/>
        <v>0</v>
      </c>
      <c r="H66" s="31">
        <v>29677010.77</v>
      </c>
      <c r="J66" s="31">
        <v>8274902.1600000001</v>
      </c>
      <c r="K66" s="31">
        <v>6905017.54</v>
      </c>
      <c r="L66" s="31">
        <v>2778455.78</v>
      </c>
      <c r="M66" s="31">
        <v>8926435.1600000001</v>
      </c>
      <c r="N66" s="31">
        <v>2179515.25</v>
      </c>
      <c r="O66" s="31">
        <v>0</v>
      </c>
      <c r="P66" s="31">
        <v>29064325.890000001</v>
      </c>
    </row>
    <row r="67" spans="1:16" hidden="1" x14ac:dyDescent="0.35">
      <c r="A67" s="44" t="str">
        <f xml:space="preserve"> _xll.EPMOlapMemberO("[PRODUCT].[PARENTH1].[ELO]","","Elonva","","000")</f>
        <v>Elonva</v>
      </c>
      <c r="C67" s="31">
        <v>1704286.96</v>
      </c>
      <c r="E67" s="31">
        <v>2731124.28</v>
      </c>
      <c r="F67" s="31">
        <v>1781807.77</v>
      </c>
      <c r="G67" s="31">
        <f t="shared" si="2"/>
        <v>0</v>
      </c>
      <c r="H67" s="31">
        <v>6217219.0099999998</v>
      </c>
      <c r="K67" s="31">
        <v>1444166.42</v>
      </c>
      <c r="M67" s="31">
        <v>3135428.16</v>
      </c>
      <c r="N67" s="31">
        <v>1716437.67</v>
      </c>
      <c r="O67" s="31">
        <v>0</v>
      </c>
      <c r="P67" s="31">
        <v>6296032.25</v>
      </c>
    </row>
    <row r="68" spans="1:16" hidden="1" x14ac:dyDescent="0.35">
      <c r="A68" s="44" t="str">
        <f xml:space="preserve"> _xll.EPMOlapMemberO("[PRODUCT].[PARENTH1].[XPU]","","Follistim Puregon","","000")</f>
        <v>Follistim Puregon</v>
      </c>
      <c r="B68" s="31">
        <v>29713006.550000001</v>
      </c>
      <c r="C68" s="31">
        <v>5932414.1100000003</v>
      </c>
      <c r="D68" s="31">
        <v>13681313.18</v>
      </c>
      <c r="E68" s="31">
        <v>9405115.4499999993</v>
      </c>
      <c r="F68" s="31">
        <v>2297339.89</v>
      </c>
      <c r="G68" s="31">
        <f t="shared" si="2"/>
        <v>0</v>
      </c>
      <c r="H68" s="31">
        <v>61029189.18</v>
      </c>
      <c r="J68" s="31">
        <v>25267166.850000001</v>
      </c>
      <c r="K68" s="31">
        <v>5285883.33</v>
      </c>
      <c r="L68" s="31">
        <v>7850459.7400000002</v>
      </c>
      <c r="M68" s="31">
        <v>11361247.060000001</v>
      </c>
      <c r="N68" s="31">
        <v>2209599.19</v>
      </c>
      <c r="O68" s="31">
        <v>0</v>
      </c>
      <c r="P68" s="31">
        <v>51974356.170000002</v>
      </c>
    </row>
    <row r="69" spans="1:16" hidden="1" x14ac:dyDescent="0.35">
      <c r="A69" s="44" t="str">
        <f xml:space="preserve"> _xll.EPMOlapMemberO("[PRODUCT].[PARENTH1].[PRG]","","Pregnyl","","000")</f>
        <v>Pregnyl</v>
      </c>
      <c r="B69" s="31">
        <v>13379491.550000001</v>
      </c>
      <c r="C69" s="31">
        <v>27439.8</v>
      </c>
      <c r="E69" s="31">
        <v>80392.179999999993</v>
      </c>
      <c r="F69" s="31">
        <v>-42.43</v>
      </c>
      <c r="G69" s="31">
        <f t="shared" si="2"/>
        <v>0</v>
      </c>
      <c r="H69" s="31">
        <v>13487281.1</v>
      </c>
      <c r="J69" s="31">
        <v>7891783.7400000002</v>
      </c>
      <c r="K69" s="31">
        <v>399358.71</v>
      </c>
      <c r="M69" s="31">
        <v>909629.34</v>
      </c>
      <c r="N69" s="31">
        <v>170425.86</v>
      </c>
      <c r="O69" s="31">
        <v>0</v>
      </c>
      <c r="P69" s="31">
        <v>9371197.6500000004</v>
      </c>
    </row>
    <row r="70" spans="1:16" hidden="1" x14ac:dyDescent="0.35">
      <c r="A70" s="49" t="str">
        <f xml:space="preserve"> _xll.EPMOlapMemberO("[PRODUCT].[PARENTH1].[FERTILITY]","","Fertility","","000")</f>
        <v>Fertility</v>
      </c>
      <c r="B70" s="31">
        <v>50752136.049999997</v>
      </c>
      <c r="C70" s="31">
        <v>11736624.119999999</v>
      </c>
      <c r="D70" s="31">
        <v>18745678.280000001</v>
      </c>
      <c r="E70" s="31">
        <v>22716746.059999999</v>
      </c>
      <c r="F70" s="31">
        <v>6459515.5499999998</v>
      </c>
      <c r="G70" s="31">
        <f t="shared" si="2"/>
        <v>0</v>
      </c>
      <c r="H70" s="31">
        <v>110410700.06</v>
      </c>
      <c r="J70" s="31">
        <v>41433852.75</v>
      </c>
      <c r="K70" s="31">
        <v>14034426</v>
      </c>
      <c r="L70" s="31">
        <v>10628915.52</v>
      </c>
      <c r="M70" s="31">
        <v>24332739.719999999</v>
      </c>
      <c r="N70" s="31">
        <v>6275977.9699999997</v>
      </c>
      <c r="O70" s="31">
        <v>0</v>
      </c>
      <c r="P70" s="31">
        <v>96705911.959999993</v>
      </c>
    </row>
    <row r="71" spans="1:16" hidden="1" x14ac:dyDescent="0.35">
      <c r="A71" s="46" t="str">
        <f xml:space="preserve"> _xll.EPMOlapMemberO("[PRODUCT].[PARENTH1].[WOMENS_HEALTH]","","Total Women's Health","","000")</f>
        <v>Total Women's Health</v>
      </c>
      <c r="B71" s="31">
        <v>196859505.94999999</v>
      </c>
      <c r="C71" s="31">
        <v>28054615.09</v>
      </c>
      <c r="D71" s="31">
        <v>20020565.370000001</v>
      </c>
      <c r="E71" s="31">
        <v>76525765.879999995</v>
      </c>
      <c r="F71" s="31">
        <v>56498667.579999998</v>
      </c>
      <c r="G71" s="31">
        <f t="shared" si="2"/>
        <v>0</v>
      </c>
      <c r="H71" s="31">
        <v>377959119.87</v>
      </c>
      <c r="J71" s="31">
        <v>235130191.80000001</v>
      </c>
      <c r="K71" s="31">
        <v>32470245.199999999</v>
      </c>
      <c r="L71" s="31">
        <v>10704999.99</v>
      </c>
      <c r="M71" s="31">
        <v>81613027.719999999</v>
      </c>
      <c r="N71" s="31">
        <v>39387988.850000001</v>
      </c>
      <c r="O71" s="31">
        <v>0</v>
      </c>
      <c r="P71" s="31">
        <v>399306453.56</v>
      </c>
    </row>
    <row r="72" spans="1:16" hidden="1" x14ac:dyDescent="0.35">
      <c r="A72" s="44" t="str">
        <f xml:space="preserve"> _xll.EPMOlapMemberO("[PRODUCT].[PARENTH1].[ETA]","","Brenzys","","000")</f>
        <v>Brenzys</v>
      </c>
      <c r="C72" s="31">
        <v>4294856.03</v>
      </c>
      <c r="E72" s="31">
        <v>8242912.71</v>
      </c>
      <c r="F72" s="31">
        <v>1889104.17</v>
      </c>
      <c r="G72" s="31">
        <f t="shared" si="2"/>
        <v>0</v>
      </c>
      <c r="H72" s="31">
        <v>14426872.91</v>
      </c>
      <c r="K72" s="31">
        <v>3924671.9</v>
      </c>
      <c r="M72" s="31">
        <v>4709694.57</v>
      </c>
      <c r="N72" s="31">
        <v>1663876.6</v>
      </c>
      <c r="O72" s="31">
        <v>0</v>
      </c>
      <c r="P72" s="31">
        <v>10298243.07</v>
      </c>
    </row>
    <row r="73" spans="1:16" hidden="1" x14ac:dyDescent="0.35">
      <c r="A73" s="44" t="str">
        <f xml:space="preserve"> _xll.EPMOlapMemberO("[PRODUCT].[PARENTH1].[SBT]","","Renflexis","","000")</f>
        <v>Renflexis</v>
      </c>
      <c r="B73" s="31">
        <v>42047197.119999997</v>
      </c>
      <c r="C73" s="31">
        <v>1469194.98</v>
      </c>
      <c r="E73" s="31">
        <v>2872717.63</v>
      </c>
      <c r="G73" s="31">
        <f t="shared" si="2"/>
        <v>0</v>
      </c>
      <c r="H73" s="31">
        <v>46389109.729999997</v>
      </c>
      <c r="J73" s="31">
        <v>34553514.590000004</v>
      </c>
      <c r="K73" s="31">
        <v>1277875.26</v>
      </c>
      <c r="M73" s="31">
        <v>2547540.34</v>
      </c>
      <c r="O73" s="31">
        <v>0</v>
      </c>
      <c r="P73" s="31">
        <v>38378930.189999998</v>
      </c>
    </row>
    <row r="74" spans="1:16" hidden="1" x14ac:dyDescent="0.35">
      <c r="A74" s="49" t="str">
        <f xml:space="preserve"> _xll.EPMOlapMemberO("[PRODUCT].[PARENTH1].[OBP]","","Other Biosimilar Products","","000")</f>
        <v>Other Biosimilar Products</v>
      </c>
      <c r="E74" s="31">
        <v>0.05</v>
      </c>
      <c r="G74" s="31">
        <f t="shared" si="2"/>
        <v>0</v>
      </c>
      <c r="H74" s="31">
        <v>0.05</v>
      </c>
      <c r="O74" s="31">
        <v>0</v>
      </c>
    </row>
    <row r="75" spans="1:16" hidden="1" x14ac:dyDescent="0.35">
      <c r="A75" s="44" t="str">
        <f xml:space="preserve"> _xll.EPMOlapMemberO("[PRODUCT].[PARENTH1].[ADA]","","Hadlima","","000")</f>
        <v>Hadlima</v>
      </c>
      <c r="C75" s="31">
        <v>800760.29</v>
      </c>
      <c r="E75" s="31">
        <v>4685045.3899999997</v>
      </c>
      <c r="F75" s="31">
        <v>190575.6</v>
      </c>
      <c r="G75" s="31">
        <f t="shared" si="2"/>
        <v>0</v>
      </c>
      <c r="H75" s="31">
        <v>5676381.2800000003</v>
      </c>
      <c r="K75" s="31">
        <v>1717794.22</v>
      </c>
      <c r="M75" s="31">
        <v>201438.26</v>
      </c>
      <c r="O75" s="31">
        <v>0</v>
      </c>
      <c r="P75" s="31">
        <v>1919232.48</v>
      </c>
    </row>
    <row r="76" spans="1:16" hidden="1" x14ac:dyDescent="0.35">
      <c r="A76" s="49" t="str">
        <f xml:space="preserve"> _xll.EPMOlapMemberO("[PRODUCT].[PARENTH1].[MBIOVEN]","","Biosimilars - Immunology","","000")</f>
        <v>Biosimilars - Immunology</v>
      </c>
      <c r="B76" s="31">
        <v>42047197.119999997</v>
      </c>
      <c r="C76" s="31">
        <v>6564811.2999999998</v>
      </c>
      <c r="E76" s="31">
        <v>15800675.73</v>
      </c>
      <c r="F76" s="31">
        <v>2079679.77</v>
      </c>
      <c r="G76" s="31">
        <f t="shared" si="2"/>
        <v>0</v>
      </c>
      <c r="H76" s="31">
        <v>66492363.920000002</v>
      </c>
      <c r="J76" s="31">
        <v>34553514.590000004</v>
      </c>
      <c r="K76" s="31">
        <v>6920341.3799999999</v>
      </c>
      <c r="M76" s="31">
        <v>7458673.1699999999</v>
      </c>
      <c r="N76" s="31">
        <v>1663876.6</v>
      </c>
      <c r="O76" s="31">
        <v>0</v>
      </c>
      <c r="P76" s="31">
        <v>50596405.740000002</v>
      </c>
    </row>
    <row r="77" spans="1:16" hidden="1" x14ac:dyDescent="0.35">
      <c r="A77" s="44" t="str">
        <f xml:space="preserve"> _xll.EPMOlapMemberO("[PRODUCT].[PARENTH1].[SBF]","","Ontruzant","","000")</f>
        <v>Ontruzant</v>
      </c>
      <c r="B77" s="31">
        <v>7295007.5800000001</v>
      </c>
      <c r="C77" s="31">
        <v>1033121.57</v>
      </c>
      <c r="E77" s="31">
        <v>13445276.16</v>
      </c>
      <c r="F77" s="31">
        <v>594160</v>
      </c>
      <c r="G77" s="31">
        <f t="shared" ref="G77:G140" si="16">H77-SUM(B77:F77)</f>
        <v>0</v>
      </c>
      <c r="H77" s="31">
        <v>22367565.309999999</v>
      </c>
      <c r="J77" s="31">
        <v>3716186.63</v>
      </c>
      <c r="K77" s="31">
        <v>167343.94</v>
      </c>
      <c r="M77" s="31">
        <v>18546486.550000001</v>
      </c>
      <c r="O77" s="31">
        <v>0</v>
      </c>
      <c r="P77" s="31">
        <v>22430017.120000001</v>
      </c>
    </row>
    <row r="78" spans="1:16" hidden="1" x14ac:dyDescent="0.35">
      <c r="A78" s="44" t="str">
        <f xml:space="preserve"> _xll.EPMOlapMemberO("[PRODUCT].[PARENTH1].[SBE]","","Aybintio","","000")</f>
        <v>Aybintio</v>
      </c>
      <c r="E78" s="31">
        <v>9643629.8000000007</v>
      </c>
      <c r="G78" s="31">
        <f t="shared" si="16"/>
        <v>0</v>
      </c>
      <c r="H78" s="31">
        <v>9643629.8000000007</v>
      </c>
      <c r="M78" s="31">
        <v>7640413.6799999997</v>
      </c>
      <c r="O78" s="31">
        <v>0</v>
      </c>
      <c r="P78" s="31">
        <v>7640413.6799999997</v>
      </c>
    </row>
    <row r="79" spans="1:16" hidden="1" x14ac:dyDescent="0.35">
      <c r="A79" s="49" t="str">
        <f xml:space="preserve"> _xll.EPMOlapMemberO("[PRODUCT].[PARENTH1].[OBIO]","","Biosimilars - Oncology","","000")</f>
        <v>Biosimilars - Oncology</v>
      </c>
      <c r="B79" s="31">
        <v>7295007.5800000001</v>
      </c>
      <c r="C79" s="31">
        <v>1033121.57</v>
      </c>
      <c r="E79" s="31">
        <v>23088905.960000001</v>
      </c>
      <c r="F79" s="31">
        <v>594160</v>
      </c>
      <c r="G79" s="31">
        <f t="shared" si="16"/>
        <v>0</v>
      </c>
      <c r="H79" s="31">
        <v>32011195.109999999</v>
      </c>
      <c r="J79" s="31">
        <v>3716186.63</v>
      </c>
      <c r="K79" s="31">
        <v>167343.94</v>
      </c>
      <c r="M79" s="31">
        <v>26186900.23</v>
      </c>
      <c r="O79" s="31">
        <v>0</v>
      </c>
      <c r="P79" s="31">
        <v>30070430.800000001</v>
      </c>
    </row>
    <row r="80" spans="1:16" hidden="1" x14ac:dyDescent="0.35">
      <c r="A80" s="46" t="str">
        <f xml:space="preserve"> _xll.EPMOlapMemberO("[PRODUCT].[PARENTH1].[PROJECT_SONG]","","Biosimilars - Total","","000")</f>
        <v>Biosimilars - Total</v>
      </c>
      <c r="B80" s="31">
        <v>49342204.700000003</v>
      </c>
      <c r="C80" s="31">
        <v>7597932.8700000001</v>
      </c>
      <c r="E80" s="31">
        <v>38889581.740000002</v>
      </c>
      <c r="F80" s="31">
        <v>2673839.77</v>
      </c>
      <c r="G80" s="31">
        <f t="shared" si="16"/>
        <v>0</v>
      </c>
      <c r="H80" s="31">
        <v>98503559.079999998</v>
      </c>
      <c r="J80" s="31">
        <v>38269701.219999999</v>
      </c>
      <c r="K80" s="31">
        <v>7087685.3200000003</v>
      </c>
      <c r="M80" s="31">
        <v>33645573.399999999</v>
      </c>
      <c r="N80" s="31">
        <v>1663876.6</v>
      </c>
      <c r="O80" s="31">
        <v>0</v>
      </c>
      <c r="P80" s="31">
        <v>80666836.540000007</v>
      </c>
    </row>
    <row r="81" spans="1:16" hidden="1" x14ac:dyDescent="0.35">
      <c r="A81" s="44" t="str">
        <f xml:space="preserve"> _xll.EPMOlapMemberO("[PRODUCT].[PARENTH1].[NASONEX]","","Nasonex Products","","000")</f>
        <v>Nasonex Products</v>
      </c>
      <c r="B81" s="31">
        <v>9426732.7799999993</v>
      </c>
      <c r="C81" s="31">
        <v>12686066.23</v>
      </c>
      <c r="D81" s="31">
        <v>18557486.77</v>
      </c>
      <c r="E81" s="31">
        <v>14442772.050000001</v>
      </c>
      <c r="F81" s="31">
        <v>19295007.059999999</v>
      </c>
      <c r="G81" s="31">
        <f t="shared" si="16"/>
        <v>517302</v>
      </c>
      <c r="H81" s="31">
        <v>74925366.890000001</v>
      </c>
      <c r="J81" s="31">
        <v>1974184.21</v>
      </c>
      <c r="K81" s="31">
        <v>4982239.67</v>
      </c>
      <c r="L81" s="31">
        <v>11862266.359999999</v>
      </c>
      <c r="M81" s="31">
        <v>10297780.66</v>
      </c>
      <c r="N81" s="31">
        <v>13941035.960000001</v>
      </c>
      <c r="O81" s="31">
        <v>4.2552E-2</v>
      </c>
      <c r="P81" s="31">
        <v>43057506.859999999</v>
      </c>
    </row>
    <row r="82" spans="1:16" hidden="1" x14ac:dyDescent="0.35">
      <c r="A82" s="44" t="str">
        <f xml:space="preserve"> _xll.EPMOlapMemberO("[PRODUCT].[PARENTH1].[GRC]","","Nasonex AG","","000")</f>
        <v>Nasonex AG</v>
      </c>
      <c r="C82" s="31">
        <v>6751282.6799999997</v>
      </c>
      <c r="G82" s="31">
        <f t="shared" si="16"/>
        <v>0</v>
      </c>
      <c r="H82" s="31">
        <v>6751282.6799999997</v>
      </c>
      <c r="J82" s="31">
        <v>148191.49</v>
      </c>
      <c r="K82" s="31">
        <v>2588799.0499999998</v>
      </c>
      <c r="O82" s="31">
        <v>0</v>
      </c>
      <c r="P82" s="31">
        <v>2736990.54</v>
      </c>
    </row>
    <row r="83" spans="1:16" hidden="1" x14ac:dyDescent="0.35">
      <c r="A83" s="44" t="str">
        <f xml:space="preserve"> _xll.EPMOlapMemberO("[PRODUCT].[PARENTH1].[SINGULAIRPROD]","","Singulair Products","","000")</f>
        <v>Singulair Products</v>
      </c>
      <c r="B83" s="31">
        <v>2684244.38</v>
      </c>
      <c r="C83" s="31">
        <v>50095058.200000003</v>
      </c>
      <c r="D83" s="31">
        <v>47926355</v>
      </c>
      <c r="E83" s="31">
        <v>15140073.26</v>
      </c>
      <c r="F83" s="31">
        <v>13783189.32</v>
      </c>
      <c r="G83" s="31">
        <f t="shared" si="16"/>
        <v>0</v>
      </c>
      <c r="H83" s="31">
        <v>129628920.16</v>
      </c>
      <c r="J83" s="31">
        <v>4516357.28</v>
      </c>
      <c r="K83" s="31">
        <v>37444048.149999999</v>
      </c>
      <c r="L83" s="31">
        <v>38343984.770000003</v>
      </c>
      <c r="M83" s="31">
        <v>17958181.489999998</v>
      </c>
      <c r="N83" s="31">
        <v>8698674.6300000008</v>
      </c>
      <c r="O83" s="31">
        <v>0</v>
      </c>
      <c r="P83" s="31">
        <v>106961246.31999999</v>
      </c>
    </row>
    <row r="84" spans="1:16" hidden="1" x14ac:dyDescent="0.35">
      <c r="A84" s="44" t="str">
        <f xml:space="preserve"> _xll.EPMOlapMemberO("[PRODUCT].[PARENTH1].[XFV]","","Dulera","","000")</f>
        <v>Dulera</v>
      </c>
      <c r="B84" s="31">
        <v>31083807.469999999</v>
      </c>
      <c r="E84" s="31">
        <v>8853747.6500000004</v>
      </c>
      <c r="F84" s="31">
        <v>187830.81</v>
      </c>
      <c r="G84" s="31">
        <f t="shared" si="16"/>
        <v>0</v>
      </c>
      <c r="H84" s="31">
        <v>40125385.93</v>
      </c>
      <c r="J84" s="31">
        <v>30721166.579999998</v>
      </c>
      <c r="M84" s="31">
        <v>7598615.3200000003</v>
      </c>
      <c r="N84" s="31">
        <v>137319.72</v>
      </c>
      <c r="O84" s="31">
        <v>0</v>
      </c>
      <c r="P84" s="31">
        <v>38457101.619999997</v>
      </c>
    </row>
    <row r="85" spans="1:16" hidden="1" x14ac:dyDescent="0.35">
      <c r="A85" s="44" t="str">
        <f xml:space="preserve"> _xll.EPMOlapMemberO("[PRODUCT].[PARENTH1].[DAG]","","Dulera AG","","000")</f>
        <v>Dulera AG</v>
      </c>
      <c r="G85" s="31">
        <f t="shared" si="16"/>
        <v>0</v>
      </c>
      <c r="O85" s="31">
        <v>0</v>
      </c>
    </row>
    <row r="86" spans="1:16" hidden="1" x14ac:dyDescent="0.35">
      <c r="A86" s="44" t="str">
        <f xml:space="preserve"> _xll.EPMOlapMemberO("[PRODUCT].[PARENTH1].[XAF]","","Asmanex","","000")</f>
        <v>Asmanex</v>
      </c>
      <c r="B86" s="31">
        <v>11779363.369999999</v>
      </c>
      <c r="C86" s="31">
        <v>388695.47</v>
      </c>
      <c r="E86" s="31">
        <v>1077689.26</v>
      </c>
      <c r="F86" s="31">
        <v>11255.88</v>
      </c>
      <c r="G86" s="31">
        <f t="shared" si="16"/>
        <v>216504</v>
      </c>
      <c r="H86" s="31">
        <v>13473507.98</v>
      </c>
      <c r="J86" s="31">
        <v>16146263.1</v>
      </c>
      <c r="K86" s="31">
        <v>503615.26</v>
      </c>
      <c r="M86" s="31">
        <v>1350034.44</v>
      </c>
      <c r="N86" s="31">
        <v>27455.119999999999</v>
      </c>
      <c r="O86" s="31">
        <v>0</v>
      </c>
      <c r="P86" s="31">
        <v>18027367.920000002</v>
      </c>
    </row>
    <row r="87" spans="1:16" hidden="1" x14ac:dyDescent="0.35">
      <c r="A87" s="43" t="str">
        <f xml:space="preserve"> _xll.EPMOlapMemberO("[PRODUCT].[PARENTH1].[XCY]","","Clarinex Tablets","","000")</f>
        <v>Clarinex Tablets</v>
      </c>
      <c r="B87" s="31">
        <v>1402469.15</v>
      </c>
      <c r="C87" s="31">
        <v>10341112.52</v>
      </c>
      <c r="D87" s="31">
        <v>58601</v>
      </c>
      <c r="E87" s="31">
        <v>14119018.73</v>
      </c>
      <c r="F87" s="31">
        <v>5443217.1500000004</v>
      </c>
      <c r="G87" s="31">
        <f t="shared" si="16"/>
        <v>0</v>
      </c>
      <c r="H87" s="31">
        <v>31364418.550000001</v>
      </c>
      <c r="J87" s="31">
        <v>1481348.15</v>
      </c>
      <c r="K87" s="31">
        <v>2252779.81</v>
      </c>
      <c r="L87" s="31">
        <v>33185.230000000003</v>
      </c>
      <c r="M87" s="31">
        <v>12580001.060000001</v>
      </c>
      <c r="N87" s="31">
        <v>5279487.29</v>
      </c>
      <c r="O87" s="31">
        <v>0</v>
      </c>
      <c r="P87" s="31">
        <v>21626801.539999999</v>
      </c>
    </row>
    <row r="88" spans="1:16" hidden="1" x14ac:dyDescent="0.35">
      <c r="A88" s="43" t="str">
        <f xml:space="preserve"> _xll.EPMOlapMemberO("[PRODUCT].[PARENTH1].[XCO]","","Clarinex Syrup","","000")</f>
        <v>Clarinex Syrup</v>
      </c>
      <c r="C88" s="31">
        <v>829268.52</v>
      </c>
      <c r="E88" s="31">
        <v>3605923.78</v>
      </c>
      <c r="F88" s="31">
        <v>2215571.84</v>
      </c>
      <c r="G88" s="31">
        <f t="shared" si="16"/>
        <v>0</v>
      </c>
      <c r="H88" s="31">
        <v>6650764.1399999997</v>
      </c>
      <c r="K88" s="31">
        <v>425114.67</v>
      </c>
      <c r="M88" s="31">
        <v>1890938.72</v>
      </c>
      <c r="N88" s="31">
        <v>682502.84</v>
      </c>
      <c r="O88" s="31">
        <v>0</v>
      </c>
      <c r="P88" s="31">
        <v>2998556.23</v>
      </c>
    </row>
    <row r="89" spans="1:16" hidden="1" x14ac:dyDescent="0.35">
      <c r="A89" s="43" t="str">
        <f xml:space="preserve"> _xll.EPMOlapMemberO("[PRODUCT].[PARENTH1].[XCU]","","Claritin Syrup","","000")</f>
        <v>Claritin Syrup</v>
      </c>
      <c r="E89" s="31">
        <v>75927.990000000005</v>
      </c>
      <c r="G89" s="31">
        <f t="shared" si="16"/>
        <v>0</v>
      </c>
      <c r="H89" s="31">
        <v>75927.990000000005</v>
      </c>
      <c r="M89" s="31">
        <v>5018.6899999999996</v>
      </c>
      <c r="N89" s="31">
        <v>-6307.22</v>
      </c>
      <c r="O89" s="31">
        <v>0</v>
      </c>
      <c r="P89" s="31">
        <v>-1288.53</v>
      </c>
    </row>
    <row r="90" spans="1:16" hidden="1" x14ac:dyDescent="0.35">
      <c r="A90" s="43" t="str">
        <f xml:space="preserve"> _xll.EPMOlapMemberO("[PRODUCT].[PARENTH1].[XCX]","","Claritin Tablets ex-D","","000")</f>
        <v>Claritin Tablets ex-D</v>
      </c>
      <c r="G90" s="31">
        <f t="shared" si="16"/>
        <v>0</v>
      </c>
      <c r="O90" s="31">
        <v>0</v>
      </c>
    </row>
    <row r="91" spans="1:16" hidden="1" x14ac:dyDescent="0.35">
      <c r="A91" s="43" t="str">
        <f xml:space="preserve"> _xll.EPMOlapMemberO("[PRODUCT].[PARENTH1].[XCG]","","Claritin D","","000")</f>
        <v>Claritin D</v>
      </c>
      <c r="C91" s="31">
        <v>87837.11</v>
      </c>
      <c r="G91" s="31">
        <f t="shared" si="16"/>
        <v>0</v>
      </c>
      <c r="H91" s="31">
        <v>87837.11</v>
      </c>
      <c r="O91" s="31">
        <v>0</v>
      </c>
    </row>
    <row r="92" spans="1:16" hidden="1" x14ac:dyDescent="0.35">
      <c r="A92" s="44" t="str">
        <f xml:space="preserve"> _xll.EPMOlapMemberO("[PRODUCT].[PARENTH1].[CLARINEX_AERIUS]","","Clarinex_Aerius","","000")</f>
        <v>Clarinex_Aerius</v>
      </c>
      <c r="B92" s="31">
        <v>1402469.15</v>
      </c>
      <c r="C92" s="31">
        <v>11258218.15</v>
      </c>
      <c r="D92" s="31">
        <v>58601</v>
      </c>
      <c r="E92" s="31">
        <v>17800870.5</v>
      </c>
      <c r="F92" s="31">
        <v>7658788.9900000002</v>
      </c>
      <c r="G92" s="31">
        <f t="shared" si="16"/>
        <v>0</v>
      </c>
      <c r="H92" s="31">
        <v>38178947.789999999</v>
      </c>
      <c r="J92" s="31">
        <v>1481348.15</v>
      </c>
      <c r="K92" s="31">
        <v>2677894.48</v>
      </c>
      <c r="L92" s="31">
        <v>33185.230000000003</v>
      </c>
      <c r="M92" s="31">
        <v>14475958.470000001</v>
      </c>
      <c r="N92" s="31">
        <v>5955682.9100000001</v>
      </c>
      <c r="O92" s="31">
        <v>0</v>
      </c>
      <c r="P92" s="31">
        <v>24624069.239999998</v>
      </c>
    </row>
    <row r="93" spans="1:16" hidden="1" x14ac:dyDescent="0.35">
      <c r="A93" s="44" t="str">
        <f xml:space="preserve"> _xll.EPMOlapMemberO("[PRODUCT].[PARENTH1].[LMC]","","Montaclar","","000")</f>
        <v>Montaclar</v>
      </c>
      <c r="F93" s="31">
        <v>448291.85</v>
      </c>
      <c r="G93" s="31">
        <f t="shared" si="16"/>
        <v>0</v>
      </c>
      <c r="H93" s="31">
        <v>448291.85</v>
      </c>
      <c r="N93" s="31">
        <v>462358.22</v>
      </c>
      <c r="O93" s="31">
        <v>0</v>
      </c>
      <c r="P93" s="31">
        <v>462358.22</v>
      </c>
    </row>
    <row r="94" spans="1:16" hidden="1" x14ac:dyDescent="0.35">
      <c r="A94" s="44" t="str">
        <f xml:space="preserve"> _xll.EPMOlapMemberO("[PRODUCT].[PARENTH1].[XAC]","","Celestone Other","","000")</f>
        <v>Celestone Other</v>
      </c>
      <c r="E94" s="31">
        <v>396273.16</v>
      </c>
      <c r="F94" s="31">
        <v>1268501.25</v>
      </c>
      <c r="G94" s="31">
        <f t="shared" si="16"/>
        <v>0</v>
      </c>
      <c r="H94" s="31">
        <v>1664774.41</v>
      </c>
      <c r="K94" s="31">
        <v>1562.16</v>
      </c>
      <c r="M94" s="31">
        <v>517524.3</v>
      </c>
      <c r="N94" s="31">
        <v>838303.81</v>
      </c>
      <c r="O94" s="31">
        <v>0</v>
      </c>
      <c r="P94" s="31">
        <v>1357390.27</v>
      </c>
    </row>
    <row r="95" spans="1:16" hidden="1" x14ac:dyDescent="0.35">
      <c r="A95" s="49" t="str">
        <f xml:space="preserve"> _xll.EPMOlapMemberO("[PRODUCT].[PARENTH1].[LEGACY_RESP]","","Established Respiratory","","000")</f>
        <v>Established Respiratory</v>
      </c>
      <c r="B95" s="31">
        <v>56376617.149999999</v>
      </c>
      <c r="C95" s="31">
        <v>81179320.730000004</v>
      </c>
      <c r="D95" s="31">
        <v>66542442.770000003</v>
      </c>
      <c r="E95" s="31">
        <v>57711425.880000003</v>
      </c>
      <c r="F95" s="31">
        <v>42652865.159999996</v>
      </c>
      <c r="G95" s="31">
        <f t="shared" si="16"/>
        <v>733806</v>
      </c>
      <c r="H95" s="31">
        <v>305196477.69</v>
      </c>
      <c r="J95" s="31">
        <v>54987510.810000002</v>
      </c>
      <c r="K95" s="31">
        <v>48198158.770000003</v>
      </c>
      <c r="L95" s="31">
        <v>50239436.359999999</v>
      </c>
      <c r="M95" s="31">
        <v>52198094.68</v>
      </c>
      <c r="N95" s="31">
        <v>30060830.370000001</v>
      </c>
      <c r="O95" s="31">
        <v>4.2552E-2</v>
      </c>
      <c r="P95" s="31">
        <v>235684030.99000001</v>
      </c>
    </row>
    <row r="96" spans="1:16" hidden="1" x14ac:dyDescent="0.35">
      <c r="A96" s="43" t="str">
        <f xml:space="preserve"> _xll.EPMOlapMemberO("[PRODUCT].[PARENTH1].[ARCOXIA]","","Arcoxia Products","","000")</f>
        <v>Arcoxia Products</v>
      </c>
      <c r="C96" s="31">
        <v>12231081.76</v>
      </c>
      <c r="D96" s="31">
        <v>9664664</v>
      </c>
      <c r="E96" s="31">
        <v>16050399.390000001</v>
      </c>
      <c r="F96" s="31">
        <v>22383601.800000001</v>
      </c>
      <c r="G96" s="31">
        <f t="shared" si="16"/>
        <v>0</v>
      </c>
      <c r="H96" s="31">
        <v>60329746.950000003</v>
      </c>
      <c r="K96" s="31">
        <v>11543499.09</v>
      </c>
      <c r="L96" s="31">
        <v>7789692.1200000001</v>
      </c>
      <c r="M96" s="31">
        <v>15989439.75</v>
      </c>
      <c r="N96" s="31">
        <v>20898469.079999998</v>
      </c>
      <c r="O96" s="31">
        <v>0</v>
      </c>
      <c r="P96" s="31">
        <v>56221100.039999999</v>
      </c>
    </row>
    <row r="97" spans="1:16" hidden="1" x14ac:dyDescent="0.35">
      <c r="A97" s="47" t="str">
        <f xml:space="preserve"> _xll.EPMOlapMemberO("[PRODUCT].[PARENTH1].[XDP]","","Diprospan","","000")</f>
        <v>Diprospan</v>
      </c>
      <c r="C97" s="31">
        <v>674523.66</v>
      </c>
      <c r="D97" s="31">
        <v>6351690</v>
      </c>
      <c r="E97" s="31">
        <v>6109723.9900000002</v>
      </c>
      <c r="F97" s="31">
        <v>18300319.420000002</v>
      </c>
      <c r="G97" s="31">
        <f t="shared" si="16"/>
        <v>0</v>
      </c>
      <c r="H97" s="31">
        <v>31436257.07</v>
      </c>
      <c r="K97" s="31">
        <v>533796.12</v>
      </c>
      <c r="L97" s="31">
        <v>3776808.48</v>
      </c>
      <c r="M97" s="31">
        <v>5742336.7300000004</v>
      </c>
      <c r="N97" s="31">
        <v>15864734.83</v>
      </c>
      <c r="O97" s="31">
        <v>0</v>
      </c>
      <c r="P97" s="31">
        <v>25917676.16</v>
      </c>
    </row>
    <row r="98" spans="1:16" hidden="1" x14ac:dyDescent="0.35">
      <c r="A98" s="47" t="str">
        <f xml:space="preserve"> _xll.EPMOlapMemberO("[PRODUCT].[PARENTH1].[XTE]","","Celestone","","000")</f>
        <v>Celestone</v>
      </c>
      <c r="B98" s="31">
        <v>2206534.16</v>
      </c>
      <c r="C98" s="31">
        <v>734716.69</v>
      </c>
      <c r="E98" s="31">
        <v>3438529.63</v>
      </c>
      <c r="F98" s="31">
        <v>3032417.96</v>
      </c>
      <c r="G98" s="31">
        <f t="shared" si="16"/>
        <v>0</v>
      </c>
      <c r="H98" s="31">
        <v>9412198.4399999995</v>
      </c>
      <c r="J98" s="31">
        <v>1532510.5</v>
      </c>
      <c r="K98" s="31">
        <v>854925.93</v>
      </c>
      <c r="M98" s="31">
        <v>2763214.86</v>
      </c>
      <c r="N98" s="31">
        <v>2991771.69</v>
      </c>
      <c r="O98" s="31">
        <v>0</v>
      </c>
      <c r="P98" s="31">
        <v>8142422.9800000004</v>
      </c>
    </row>
    <row r="99" spans="1:16" hidden="1" x14ac:dyDescent="0.35">
      <c r="A99" s="47" t="str">
        <f xml:space="preserve"> _xll.EPMOlapMemberO("[PRODUCT].[PARENTH1].[CLS]","","Celestone AG","","000")</f>
        <v>Celestone AG</v>
      </c>
      <c r="B99" s="31">
        <v>203291.54</v>
      </c>
      <c r="G99" s="31">
        <f t="shared" si="16"/>
        <v>0</v>
      </c>
      <c r="H99" s="31">
        <v>203291.54</v>
      </c>
      <c r="J99" s="31">
        <v>-2382047.5499999998</v>
      </c>
      <c r="O99" s="31">
        <v>0</v>
      </c>
      <c r="P99" s="31">
        <v>-2382047.5499999998</v>
      </c>
    </row>
    <row r="100" spans="1:16" hidden="1" x14ac:dyDescent="0.35">
      <c r="A100" s="47" t="str">
        <f xml:space="preserve"> _xll.EPMOlapMemberO("[PRODUCT].[PARENTH1].[BTS]","","Betamethasone","","000")</f>
        <v>Betamethasone</v>
      </c>
      <c r="E100" s="31">
        <v>169920.53</v>
      </c>
      <c r="F100" s="31">
        <v>877034.94</v>
      </c>
      <c r="G100" s="31">
        <f t="shared" si="16"/>
        <v>0</v>
      </c>
      <c r="H100" s="31">
        <v>1046955.47</v>
      </c>
      <c r="K100" s="31">
        <v>178307.21</v>
      </c>
      <c r="N100" s="31">
        <v>287564.49</v>
      </c>
      <c r="O100" s="31">
        <v>0</v>
      </c>
      <c r="P100" s="31">
        <v>465871.7</v>
      </c>
    </row>
    <row r="101" spans="1:16" hidden="1" x14ac:dyDescent="0.35">
      <c r="A101" s="47" t="str">
        <f xml:space="preserve"> _xll.EPMOlapMemberO("[PRODUCT].[PARENTH1].[XWB]","","Meticorten","","000")</f>
        <v>Meticorten</v>
      </c>
      <c r="F101" s="31">
        <v>555896.96</v>
      </c>
      <c r="G101" s="31">
        <f t="shared" si="16"/>
        <v>0</v>
      </c>
      <c r="H101" s="31">
        <v>555896.96</v>
      </c>
      <c r="N101" s="31">
        <v>427450.78</v>
      </c>
      <c r="O101" s="31">
        <v>0</v>
      </c>
      <c r="P101" s="31">
        <v>427450.78</v>
      </c>
    </row>
    <row r="102" spans="1:16" hidden="1" x14ac:dyDescent="0.35">
      <c r="A102" s="43" t="str">
        <f xml:space="preserve"> _xll.EPMOlapMemberO("[PRODUCT].[PARENTH1].[INJECTABLE_STED]","","Injectable Steroids","","000")</f>
        <v>Injectable Steroids</v>
      </c>
      <c r="B102" s="31">
        <v>2409825.7000000002</v>
      </c>
      <c r="C102" s="31">
        <v>1409240.35</v>
      </c>
      <c r="D102" s="31">
        <v>6351690</v>
      </c>
      <c r="E102" s="31">
        <v>9718174.1500000004</v>
      </c>
      <c r="F102" s="31">
        <v>22765669.280000001</v>
      </c>
      <c r="G102" s="31">
        <f t="shared" si="16"/>
        <v>0</v>
      </c>
      <c r="H102" s="31">
        <v>42654599.479999997</v>
      </c>
      <c r="J102" s="31">
        <v>-849537.05</v>
      </c>
      <c r="K102" s="31">
        <v>1567029.26</v>
      </c>
      <c r="L102" s="31">
        <v>3776808.48</v>
      </c>
      <c r="M102" s="31">
        <v>8505551.5899999999</v>
      </c>
      <c r="N102" s="31">
        <v>19571521.789999999</v>
      </c>
      <c r="O102" s="31">
        <v>0</v>
      </c>
      <c r="P102" s="31">
        <v>32571374.07</v>
      </c>
    </row>
    <row r="103" spans="1:16" hidden="1" x14ac:dyDescent="0.35">
      <c r="A103" s="44" t="str">
        <f xml:space="preserve"> _xll.EPMOlapMemberO("[PRODUCT].[PARENTH1].[INJECTABLES]","","Established Pain","","000")</f>
        <v>Established Pain</v>
      </c>
      <c r="B103" s="31">
        <v>2409825.7000000002</v>
      </c>
      <c r="C103" s="31">
        <v>13640322.109999999</v>
      </c>
      <c r="D103" s="31">
        <v>16016354</v>
      </c>
      <c r="E103" s="31">
        <v>25768573.539999999</v>
      </c>
      <c r="F103" s="31">
        <v>45149271.079999998</v>
      </c>
      <c r="G103" s="31">
        <f t="shared" si="16"/>
        <v>0</v>
      </c>
      <c r="H103" s="31">
        <v>102984346.43000001</v>
      </c>
      <c r="J103" s="31">
        <v>-849537.05</v>
      </c>
      <c r="K103" s="31">
        <v>13110528.35</v>
      </c>
      <c r="L103" s="31">
        <v>11566500.6</v>
      </c>
      <c r="M103" s="31">
        <v>24494991.34</v>
      </c>
      <c r="N103" s="31">
        <v>40469990.869999997</v>
      </c>
      <c r="O103" s="31">
        <v>0</v>
      </c>
      <c r="P103" s="31">
        <v>88792474.109999999</v>
      </c>
    </row>
    <row r="104" spans="1:16" hidden="1" x14ac:dyDescent="0.35">
      <c r="A104" s="43" t="str">
        <f xml:space="preserve"> _xll.EPMOlapMemberO("[PRODUCT].[PARENTH1].[FOSOMAXPROD]","","Fosamax Products","","000")</f>
        <v>Fosamax Products</v>
      </c>
      <c r="B104" s="31">
        <v>785325.18</v>
      </c>
      <c r="C104" s="31">
        <v>11648650.49</v>
      </c>
      <c r="D104" s="31">
        <v>14575235</v>
      </c>
      <c r="E104" s="31">
        <v>9942045.6300000008</v>
      </c>
      <c r="F104" s="31">
        <v>3815191.57</v>
      </c>
      <c r="G104" s="31">
        <f t="shared" si="16"/>
        <v>0</v>
      </c>
      <c r="H104" s="31">
        <v>40766447.869999997</v>
      </c>
      <c r="J104" s="31">
        <v>876008.27</v>
      </c>
      <c r="K104" s="31">
        <v>11027769.550000001</v>
      </c>
      <c r="L104" s="31">
        <v>11036958.880000001</v>
      </c>
      <c r="M104" s="31">
        <v>11093466.48</v>
      </c>
      <c r="N104" s="31">
        <v>3658259.74</v>
      </c>
      <c r="O104" s="31">
        <v>0</v>
      </c>
      <c r="P104" s="31">
        <v>37692462.920000002</v>
      </c>
    </row>
    <row r="105" spans="1:16" hidden="1" x14ac:dyDescent="0.35">
      <c r="A105" s="44" t="str">
        <f xml:space="preserve"> _xll.EPMOlapMemberO("[PRODUCT].[PARENTH1].[BONE]","","Bone","","000")</f>
        <v>Bone</v>
      </c>
      <c r="B105" s="31">
        <v>785325.18</v>
      </c>
      <c r="C105" s="31">
        <v>11648650.49</v>
      </c>
      <c r="D105" s="31">
        <v>14575235</v>
      </c>
      <c r="E105" s="31">
        <v>9942045.6300000008</v>
      </c>
      <c r="F105" s="31">
        <v>3815191.57</v>
      </c>
      <c r="G105" s="31">
        <f t="shared" si="16"/>
        <v>0</v>
      </c>
      <c r="H105" s="31">
        <v>40766447.869999997</v>
      </c>
      <c r="J105" s="31">
        <v>876008.27</v>
      </c>
      <c r="K105" s="31">
        <v>11027769.550000001</v>
      </c>
      <c r="L105" s="31">
        <v>11036958.880000001</v>
      </c>
      <c r="M105" s="31">
        <v>11093466.48</v>
      </c>
      <c r="N105" s="31">
        <v>3658259.74</v>
      </c>
      <c r="O105" s="31">
        <v>0</v>
      </c>
      <c r="P105" s="31">
        <v>37692462.920000002</v>
      </c>
    </row>
    <row r="106" spans="1:16" hidden="1" x14ac:dyDescent="0.35">
      <c r="A106" s="43" t="str">
        <f xml:space="preserve"> _xll.EPMOlapMemberO("[PRODUCT].[PARENTH1].[XKA]","","Lotrisone","","000")</f>
        <v>Lotrisone</v>
      </c>
      <c r="E106" s="31">
        <v>2931256.21</v>
      </c>
      <c r="F106" s="31">
        <v>263950.71999999997</v>
      </c>
      <c r="G106" s="31">
        <f t="shared" si="16"/>
        <v>0</v>
      </c>
      <c r="H106" s="31">
        <v>3195206.93</v>
      </c>
      <c r="J106" s="31">
        <v>-861.64</v>
      </c>
      <c r="M106" s="31">
        <v>3424762.39</v>
      </c>
      <c r="N106" s="31">
        <v>128569.81</v>
      </c>
      <c r="O106" s="31">
        <v>0</v>
      </c>
      <c r="P106" s="31">
        <v>3552470.56</v>
      </c>
    </row>
    <row r="107" spans="1:16" hidden="1" x14ac:dyDescent="0.35">
      <c r="A107" s="43" t="str">
        <f xml:space="preserve"> _xll.EPMOlapMemberO("[PRODUCT].[PARENTH1].[XCN]","","Elocon","","000")</f>
        <v>Elocon</v>
      </c>
      <c r="C107" s="31">
        <v>3139699.16</v>
      </c>
      <c r="E107" s="31">
        <v>8319278.8200000003</v>
      </c>
      <c r="F107" s="31">
        <v>3720531.57</v>
      </c>
      <c r="G107" s="31">
        <f t="shared" si="16"/>
        <v>0</v>
      </c>
      <c r="H107" s="31">
        <v>15179509.550000001</v>
      </c>
      <c r="J107" s="31">
        <v>-13.32</v>
      </c>
      <c r="K107" s="31">
        <v>2786762.8</v>
      </c>
      <c r="M107" s="31">
        <v>7486750.9100000001</v>
      </c>
      <c r="N107" s="31">
        <v>3179150.68</v>
      </c>
      <c r="O107" s="31">
        <v>0</v>
      </c>
      <c r="P107" s="31">
        <v>13452651.07</v>
      </c>
    </row>
    <row r="108" spans="1:16" hidden="1" x14ac:dyDescent="0.35">
      <c r="A108" s="43" t="str">
        <f xml:space="preserve"> _xll.EPMOlapMemberO("[PRODUCT].[PARENTH1].[XDI]","","Diprosone","","000")</f>
        <v>Diprosone</v>
      </c>
      <c r="B108" s="31">
        <v>62178.96</v>
      </c>
      <c r="C108" s="31">
        <v>4205837.9400000004</v>
      </c>
      <c r="E108" s="31">
        <v>12447803.800000001</v>
      </c>
      <c r="F108" s="31">
        <v>2571059.77</v>
      </c>
      <c r="G108" s="31">
        <f t="shared" si="16"/>
        <v>0</v>
      </c>
      <c r="H108" s="31">
        <v>19286880.469999999</v>
      </c>
      <c r="J108" s="31">
        <v>305523.18</v>
      </c>
      <c r="K108" s="31">
        <v>4885269.5</v>
      </c>
      <c r="M108" s="31">
        <v>13106596.300000001</v>
      </c>
      <c r="N108" s="31">
        <v>1583693.78</v>
      </c>
      <c r="O108" s="31">
        <v>0</v>
      </c>
      <c r="P108" s="31">
        <v>19881082.760000002</v>
      </c>
    </row>
    <row r="109" spans="1:16" hidden="1" x14ac:dyDescent="0.35">
      <c r="A109" s="43" t="str">
        <f xml:space="preserve"> _xll.EPMOlapMemberO("[PRODUCT].[PARENTH1].[XVL]","","Valisone","","000")</f>
        <v>Valisone</v>
      </c>
      <c r="C109" s="31">
        <v>753147.97</v>
      </c>
      <c r="E109" s="31">
        <v>7999264.3200000003</v>
      </c>
      <c r="F109" s="31">
        <v>142276.76999999999</v>
      </c>
      <c r="G109" s="31">
        <f t="shared" si="16"/>
        <v>0</v>
      </c>
      <c r="H109" s="31">
        <v>8894689.0600000005</v>
      </c>
      <c r="K109" s="31">
        <v>886208.22</v>
      </c>
      <c r="M109" s="31">
        <v>7866321.7000000002</v>
      </c>
      <c r="N109" s="31">
        <v>293589.18</v>
      </c>
      <c r="O109" s="31">
        <v>0</v>
      </c>
      <c r="P109" s="31">
        <v>9046119.0999999996</v>
      </c>
    </row>
    <row r="110" spans="1:16" hidden="1" x14ac:dyDescent="0.35">
      <c r="A110" s="43" t="str">
        <f xml:space="preserve"> _xll.EPMOlapMemberO("[PRODUCT].[PARENTH1].[XQU]","","Quadriderm","","000")</f>
        <v>Quadriderm</v>
      </c>
      <c r="C110" s="31">
        <v>735782.24</v>
      </c>
      <c r="E110" s="31">
        <v>3047244.77</v>
      </c>
      <c r="F110" s="31">
        <v>5370584</v>
      </c>
      <c r="G110" s="31">
        <f t="shared" si="16"/>
        <v>0</v>
      </c>
      <c r="H110" s="31">
        <v>9153611.0099999998</v>
      </c>
      <c r="K110" s="31">
        <v>1540771.17</v>
      </c>
      <c r="M110" s="31">
        <v>2097642</v>
      </c>
      <c r="N110" s="31">
        <v>2960730.11</v>
      </c>
      <c r="O110" s="31">
        <v>0</v>
      </c>
      <c r="P110" s="31">
        <v>6599143.2800000003</v>
      </c>
    </row>
    <row r="111" spans="1:16" hidden="1" x14ac:dyDescent="0.35">
      <c r="A111" s="43" t="str">
        <f xml:space="preserve"> _xll.EPMOlapMemberO("[PRODUCT].[PARENTH1].[XGA]","","Gentalyn","","000")</f>
        <v>Gentalyn</v>
      </c>
      <c r="E111" s="31">
        <v>1738236.79</v>
      </c>
      <c r="G111" s="31">
        <f t="shared" si="16"/>
        <v>0</v>
      </c>
      <c r="H111" s="31">
        <v>1738236.79</v>
      </c>
      <c r="M111" s="31">
        <v>1589772.55</v>
      </c>
      <c r="N111" s="31">
        <v>218977.2</v>
      </c>
      <c r="O111" s="31">
        <v>0</v>
      </c>
      <c r="P111" s="31">
        <v>1808749.75</v>
      </c>
    </row>
    <row r="112" spans="1:16" hidden="1" x14ac:dyDescent="0.35">
      <c r="A112" s="43" t="str">
        <f xml:space="preserve"> _xll.EPMOlapMemberO("[PRODUCT].[PARENTH1].[EML]","","Emolene","","000")</f>
        <v>Emolene</v>
      </c>
      <c r="C112" s="31">
        <v>119204.22</v>
      </c>
      <c r="G112" s="31">
        <f t="shared" si="16"/>
        <v>0</v>
      </c>
      <c r="H112" s="31">
        <v>119204.22</v>
      </c>
      <c r="O112" s="31">
        <v>0</v>
      </c>
    </row>
    <row r="113" spans="1:16" hidden="1" x14ac:dyDescent="0.35">
      <c r="A113" s="44" t="str">
        <f xml:space="preserve"> _xll.EPMOlapMemberO("[PRODUCT].[PARENTH1].[DERMATOLOGY]","","Established Dermatology","","000")</f>
        <v>Established Dermatology</v>
      </c>
      <c r="B113" s="31">
        <v>62178.96</v>
      </c>
      <c r="C113" s="31">
        <v>8953671.5299999993</v>
      </c>
      <c r="E113" s="31">
        <v>36483084.710000001</v>
      </c>
      <c r="F113" s="31">
        <v>12068402.83</v>
      </c>
      <c r="G113" s="31">
        <f t="shared" si="16"/>
        <v>0</v>
      </c>
      <c r="H113" s="31">
        <v>57567338.030000001</v>
      </c>
      <c r="J113" s="31">
        <v>304648.21999999997</v>
      </c>
      <c r="K113" s="31">
        <v>10099011.689999999</v>
      </c>
      <c r="M113" s="31">
        <v>35571845.850000001</v>
      </c>
      <c r="N113" s="31">
        <v>8364710.7599999998</v>
      </c>
      <c r="O113" s="31">
        <v>0</v>
      </c>
      <c r="P113" s="31">
        <v>54340216.520000003</v>
      </c>
    </row>
    <row r="114" spans="1:16" hidden="1" x14ac:dyDescent="0.35">
      <c r="A114" s="49" t="str">
        <f xml:space="preserve"> _xll.EPMOlapMemberO("[PRODUCT].[PARENTH1].[LEGACY_PAIN_BONE_DERM]","","Established Pain, Bone and Derm","","000")</f>
        <v>Established Pain, Bone and Derm</v>
      </c>
      <c r="B114" s="31">
        <v>3257329.84</v>
      </c>
      <c r="C114" s="31">
        <v>34242644.130000003</v>
      </c>
      <c r="D114" s="31">
        <v>30591589</v>
      </c>
      <c r="E114" s="31">
        <v>72193703.879999995</v>
      </c>
      <c r="F114" s="31">
        <v>61032865.479999997</v>
      </c>
      <c r="G114" s="31">
        <f t="shared" si="16"/>
        <v>0</v>
      </c>
      <c r="H114" s="31">
        <v>201318132.33000001</v>
      </c>
      <c r="J114" s="31">
        <v>331119.44</v>
      </c>
      <c r="K114" s="31">
        <v>34237309.590000004</v>
      </c>
      <c r="L114" s="31">
        <v>22603459.48</v>
      </c>
      <c r="M114" s="31">
        <v>71160303.670000002</v>
      </c>
      <c r="N114" s="31">
        <v>52492961.369999997</v>
      </c>
      <c r="O114" s="31">
        <v>0</v>
      </c>
      <c r="P114" s="31">
        <v>180825153.55000001</v>
      </c>
    </row>
    <row r="115" spans="1:16" hidden="1" x14ac:dyDescent="0.35">
      <c r="A115" s="47" t="str">
        <f xml:space="preserve"> _xll.EPMOlapMemberO("[PRODUCT].[PARENTH1].[ZETIA]","","Zetia Products","","000")</f>
        <v>Zetia Products</v>
      </c>
      <c r="B115" s="31">
        <v>3164757.49</v>
      </c>
      <c r="C115" s="31">
        <v>22294572.34</v>
      </c>
      <c r="D115" s="31">
        <v>46110220</v>
      </c>
      <c r="E115" s="31">
        <v>22220385.32</v>
      </c>
      <c r="F115" s="31">
        <v>5580169.75</v>
      </c>
      <c r="G115" s="31">
        <f t="shared" si="16"/>
        <v>0</v>
      </c>
      <c r="H115" s="31">
        <v>99370104.900000006</v>
      </c>
      <c r="J115" s="31">
        <v>2382702.23</v>
      </c>
      <c r="K115" s="31">
        <v>18638177.809999999</v>
      </c>
      <c r="L115" s="31">
        <v>38604731.57</v>
      </c>
      <c r="M115" s="31">
        <v>25733763.079999998</v>
      </c>
      <c r="N115" s="31">
        <v>6497948.7199999997</v>
      </c>
      <c r="O115" s="31">
        <v>0</v>
      </c>
      <c r="P115" s="31">
        <v>91857323.409999996</v>
      </c>
    </row>
    <row r="116" spans="1:16" hidden="1" x14ac:dyDescent="0.35">
      <c r="A116" s="47" t="str">
        <f xml:space="preserve"> _xll.EPMOlapMemberO("[PRODUCT].[PARENTH1].[VYTORIN]","","Vytorin Products","","000")</f>
        <v>Vytorin Products</v>
      </c>
      <c r="B116" s="31">
        <v>1699131.21</v>
      </c>
      <c r="C116" s="31">
        <v>9394123.6999999993</v>
      </c>
      <c r="D116" s="31">
        <v>210613</v>
      </c>
      <c r="E116" s="31">
        <v>18585828.699999999</v>
      </c>
      <c r="F116" s="31">
        <v>7662109.6299999999</v>
      </c>
      <c r="G116" s="31">
        <f t="shared" si="16"/>
        <v>-1599.6200000047684</v>
      </c>
      <c r="H116" s="31">
        <v>37550206.619999997</v>
      </c>
      <c r="J116" s="31">
        <v>2584835.19</v>
      </c>
      <c r="K116" s="31">
        <v>10517888.880000001</v>
      </c>
      <c r="L116" s="31">
        <v>339032.96</v>
      </c>
      <c r="M116" s="31">
        <v>18634150.920000002</v>
      </c>
      <c r="N116" s="31">
        <v>8698749.9000000004</v>
      </c>
      <c r="O116" s="31">
        <v>0</v>
      </c>
      <c r="P116" s="31">
        <v>40774657.850000001</v>
      </c>
    </row>
    <row r="117" spans="1:16" hidden="1" x14ac:dyDescent="0.35">
      <c r="A117" s="43" t="str">
        <f xml:space="preserve"> _xll.EPMOlapMemberO("[PRODUCT].[PARENTH1].[ZETIA_VYTORIN]","","Zetia Vytorin","","000")</f>
        <v>Zetia Vytorin</v>
      </c>
      <c r="B117" s="31">
        <v>4863888.7</v>
      </c>
      <c r="C117" s="31">
        <v>31688696.039999999</v>
      </c>
      <c r="D117" s="31">
        <v>46320833</v>
      </c>
      <c r="E117" s="31">
        <v>40806214.020000003</v>
      </c>
      <c r="F117" s="31">
        <v>13242279.380000001</v>
      </c>
      <c r="G117" s="31">
        <f t="shared" si="16"/>
        <v>-1599.6200000047684</v>
      </c>
      <c r="H117" s="31">
        <v>136920311.52000001</v>
      </c>
      <c r="J117" s="31">
        <v>4967537.42</v>
      </c>
      <c r="K117" s="31">
        <v>29156066.690000001</v>
      </c>
      <c r="L117" s="31">
        <v>38943764.530000001</v>
      </c>
      <c r="M117" s="31">
        <v>44367914</v>
      </c>
      <c r="N117" s="31">
        <v>15196698.619999999</v>
      </c>
      <c r="O117" s="31">
        <v>0</v>
      </c>
      <c r="P117" s="31">
        <v>132631981.26000001</v>
      </c>
    </row>
    <row r="118" spans="1:16" hidden="1" x14ac:dyDescent="0.35">
      <c r="A118" s="43" t="str">
        <f xml:space="preserve"> _xll.EPMOlapMemberO("[PRODUCT].[PARENTH1].[LIPTRUZET]","","Atozet Products","","000")</f>
        <v>Atozet Products</v>
      </c>
      <c r="C118" s="31">
        <v>36097246.270000003</v>
      </c>
      <c r="E118" s="31">
        <v>74585764.739999995</v>
      </c>
      <c r="F118" s="31">
        <v>7835954.7000000002</v>
      </c>
      <c r="G118" s="31">
        <f t="shared" si="16"/>
        <v>0</v>
      </c>
      <c r="H118" s="31">
        <v>118518965.70999999</v>
      </c>
      <c r="K118" s="31">
        <v>35989897.850000001</v>
      </c>
      <c r="M118" s="31">
        <v>70429121.170000002</v>
      </c>
      <c r="N118" s="31">
        <v>5338877.47</v>
      </c>
      <c r="O118" s="31">
        <v>0</v>
      </c>
      <c r="P118" s="31">
        <v>111757896.48999999</v>
      </c>
    </row>
    <row r="119" spans="1:16" hidden="1" x14ac:dyDescent="0.35">
      <c r="A119" s="43" t="str">
        <f xml:space="preserve"> _xll.EPMOlapMemberO("[PRODUCT].[PARENTH1].[ROSPROD]","","Rosuzet Products","","000")</f>
        <v>Rosuzet Products</v>
      </c>
      <c r="C119" s="31">
        <v>22248117.620000001</v>
      </c>
      <c r="F119" s="31">
        <v>67748.710000000006</v>
      </c>
      <c r="G119" s="31">
        <f t="shared" si="16"/>
        <v>0</v>
      </c>
      <c r="H119" s="31">
        <v>22315866.329999998</v>
      </c>
      <c r="K119" s="31">
        <v>14997879.27</v>
      </c>
      <c r="N119" s="31">
        <v>500931.71</v>
      </c>
      <c r="O119" s="31">
        <v>0</v>
      </c>
      <c r="P119" s="31">
        <v>15498810.98</v>
      </c>
    </row>
    <row r="120" spans="1:16" hidden="1" x14ac:dyDescent="0.35">
      <c r="A120" s="43" t="str">
        <f xml:space="preserve"> _xll.EPMOlapMemberO("[PRODUCT].[PARENTH1].[GRD]","","Zetia AG","","000")</f>
        <v>Zetia AG</v>
      </c>
      <c r="C120" s="31">
        <v>972011.92</v>
      </c>
      <c r="G120" s="31">
        <f t="shared" si="16"/>
        <v>0</v>
      </c>
      <c r="H120" s="31">
        <v>972011.92</v>
      </c>
      <c r="K120" s="31">
        <v>68136.350000000006</v>
      </c>
      <c r="O120" s="31">
        <v>0</v>
      </c>
      <c r="P120" s="31">
        <v>68136.350000000006</v>
      </c>
    </row>
    <row r="121" spans="1:16" hidden="1" x14ac:dyDescent="0.35">
      <c r="A121" s="44" t="str">
        <f xml:space="preserve"> _xll.EPMOlapMemberO("[PRODUCT].[PARENTH1].[MSPCHOLPROD]","","Ezetimibe Family","","000")</f>
        <v>Ezetimibe Family</v>
      </c>
      <c r="B121" s="31">
        <v>4863888.7</v>
      </c>
      <c r="C121" s="31">
        <v>91006071.849999994</v>
      </c>
      <c r="D121" s="31">
        <v>46320833</v>
      </c>
      <c r="E121" s="31">
        <v>115391978.76000001</v>
      </c>
      <c r="F121" s="31">
        <v>21145982.789999999</v>
      </c>
      <c r="G121" s="31">
        <f t="shared" si="16"/>
        <v>-1599.6200000047684</v>
      </c>
      <c r="H121" s="31">
        <v>278727155.48000002</v>
      </c>
      <c r="J121" s="31">
        <v>4967537.42</v>
      </c>
      <c r="K121" s="31">
        <v>80211980.159999996</v>
      </c>
      <c r="L121" s="31">
        <v>38943764.530000001</v>
      </c>
      <c r="M121" s="31">
        <v>114797035.17</v>
      </c>
      <c r="N121" s="31">
        <v>21036507.800000001</v>
      </c>
      <c r="O121" s="31">
        <v>0</v>
      </c>
      <c r="P121" s="31">
        <v>259956825.08000001</v>
      </c>
    </row>
    <row r="122" spans="1:16" hidden="1" x14ac:dyDescent="0.35">
      <c r="A122" s="44" t="str">
        <f xml:space="preserve"> _xll.EPMOlapMemberO("[PRODUCT].[PARENTH1].[OCP]","","Lixiana","","000")</f>
        <v>Lixiana</v>
      </c>
      <c r="E122" s="31">
        <v>8909069.6999999993</v>
      </c>
      <c r="G122" s="31">
        <f t="shared" si="16"/>
        <v>0</v>
      </c>
      <c r="H122" s="31">
        <v>8909069.6999999993</v>
      </c>
      <c r="M122" s="31">
        <v>7834731.4199999999</v>
      </c>
      <c r="O122" s="31">
        <v>0</v>
      </c>
      <c r="P122" s="31">
        <v>7834731.4199999999</v>
      </c>
    </row>
    <row r="123" spans="1:16" hidden="1" x14ac:dyDescent="0.35">
      <c r="A123" s="44" t="str">
        <f xml:space="preserve"> _xll.EPMOlapMemberO("[PRODUCT].[PARENTH1].[COZAAR_HYZAAR]","","Cozaar Hyzaar Products","","000")</f>
        <v>Cozaar Hyzaar Products</v>
      </c>
      <c r="B123" s="31">
        <v>7841560.5300000003</v>
      </c>
      <c r="C123" s="31">
        <v>26089089.649999999</v>
      </c>
      <c r="D123" s="31">
        <v>37834645.490000002</v>
      </c>
      <c r="E123" s="31">
        <v>13686023.49</v>
      </c>
      <c r="F123" s="31">
        <v>7923586.7699999996</v>
      </c>
      <c r="G123" s="31">
        <f t="shared" si="16"/>
        <v>0</v>
      </c>
      <c r="H123" s="31">
        <v>93374905.930000007</v>
      </c>
      <c r="J123" s="31">
        <v>3383517.41</v>
      </c>
      <c r="K123" s="31">
        <v>27394210.239999998</v>
      </c>
      <c r="L123" s="31">
        <v>42201574.549999997</v>
      </c>
      <c r="M123" s="31">
        <v>9256124.4399999995</v>
      </c>
      <c r="N123" s="31">
        <v>8205872.9400000004</v>
      </c>
      <c r="O123" s="31">
        <v>0</v>
      </c>
      <c r="P123" s="31">
        <v>90441299.579999998</v>
      </c>
    </row>
    <row r="124" spans="1:16" hidden="1" x14ac:dyDescent="0.35">
      <c r="A124" s="44" t="str">
        <f xml:space="preserve"> _xll.EPMOlapMemberO("[PRODUCT].[PARENTH1].[ZOCOR]","","Zocor Products","","000")</f>
        <v>Zocor Products</v>
      </c>
      <c r="B124" s="31">
        <v>968343.37</v>
      </c>
      <c r="C124" s="31">
        <v>2755924.03</v>
      </c>
      <c r="D124" s="31">
        <v>2313265</v>
      </c>
      <c r="E124" s="31">
        <v>3925242.71</v>
      </c>
      <c r="F124" s="31">
        <v>2020943.98</v>
      </c>
      <c r="G124" s="31">
        <f t="shared" si="16"/>
        <v>0</v>
      </c>
      <c r="H124" s="31">
        <v>11983719.09</v>
      </c>
      <c r="J124" s="31">
        <v>1008660.45</v>
      </c>
      <c r="K124" s="31">
        <v>3349462.02</v>
      </c>
      <c r="L124" s="31">
        <v>3004814.3</v>
      </c>
      <c r="M124" s="31">
        <v>4497749.49</v>
      </c>
      <c r="N124" s="31">
        <v>2701195.13</v>
      </c>
      <c r="O124" s="31">
        <v>0</v>
      </c>
      <c r="P124" s="31">
        <v>14561881.390000001</v>
      </c>
    </row>
    <row r="125" spans="1:16" hidden="1" x14ac:dyDescent="0.35">
      <c r="A125" s="44" t="str">
        <f xml:space="preserve"> _xll.EPMOlapMemberO("[PRODUCT].[PARENTH1].[VASOTEC_VASERETIC]","","Vasotec Vaseretic Products","","000")</f>
        <v>Vasotec Vaseretic Products</v>
      </c>
      <c r="C125" s="31">
        <v>1366941.57</v>
      </c>
      <c r="D125" s="31">
        <v>2822</v>
      </c>
      <c r="E125" s="31">
        <v>3822253.44</v>
      </c>
      <c r="F125" s="31">
        <v>2373616.63</v>
      </c>
      <c r="G125" s="31">
        <f t="shared" si="16"/>
        <v>0</v>
      </c>
      <c r="H125" s="31">
        <v>7565633.6399999997</v>
      </c>
      <c r="K125" s="31">
        <v>1402328.83</v>
      </c>
      <c r="L125" s="31">
        <v>2795.52</v>
      </c>
      <c r="M125" s="31">
        <v>3997909.34</v>
      </c>
      <c r="N125" s="31">
        <v>1274745.54</v>
      </c>
      <c r="O125" s="31">
        <v>0</v>
      </c>
      <c r="P125" s="31">
        <v>6677779.2300000004</v>
      </c>
    </row>
    <row r="126" spans="1:16" hidden="1" x14ac:dyDescent="0.35">
      <c r="A126" s="44" t="str">
        <f xml:space="preserve"> _xll.EPMOlapMemberO("[PRODUCT].[PARENTH1].[XHE]","","Olmetec Sevikar","","000")</f>
        <v>Olmetec Sevikar</v>
      </c>
      <c r="C126" s="31">
        <v>682717.34</v>
      </c>
      <c r="E126" s="31">
        <v>696691.65</v>
      </c>
      <c r="F126" s="31">
        <v>3145473.54</v>
      </c>
      <c r="G126" s="31">
        <f t="shared" si="16"/>
        <v>0</v>
      </c>
      <c r="H126" s="31">
        <v>4524882.53</v>
      </c>
      <c r="K126" s="31">
        <v>3116160.6</v>
      </c>
      <c r="M126" s="31">
        <v>1460891.11</v>
      </c>
      <c r="N126" s="31">
        <v>2663602.2799999998</v>
      </c>
      <c r="O126" s="31">
        <v>0</v>
      </c>
      <c r="P126" s="31">
        <v>7240653.9900000002</v>
      </c>
    </row>
    <row r="127" spans="1:16" hidden="1" x14ac:dyDescent="0.35">
      <c r="A127" s="44" t="str">
        <f xml:space="preserve"> _xll.EPMOlapMemberO("[PRODUCT].[PARENTH1].[BPR]","","Bepricor","","000")</f>
        <v>Bepricor</v>
      </c>
      <c r="C127" s="31">
        <v>4697169.4000000004</v>
      </c>
      <c r="G127" s="31">
        <f t="shared" si="16"/>
        <v>0</v>
      </c>
      <c r="H127" s="31">
        <v>4697169.4000000004</v>
      </c>
      <c r="K127" s="31">
        <v>2228576.8199999998</v>
      </c>
      <c r="O127" s="31">
        <v>0</v>
      </c>
      <c r="P127" s="31">
        <v>2228576.8199999998</v>
      </c>
    </row>
    <row r="128" spans="1:16" hidden="1" x14ac:dyDescent="0.35">
      <c r="A128" s="44" t="str">
        <f xml:space="preserve"> _xll.EPMOlapMemberO("[PRODUCT].[PARENTH1].[HYC]","","Hydrochlorothiazide","","000")</f>
        <v>Hydrochlorothiazide</v>
      </c>
      <c r="G128" s="31">
        <f t="shared" si="16"/>
        <v>0</v>
      </c>
      <c r="O128" s="31">
        <v>0</v>
      </c>
    </row>
    <row r="129" spans="1:16" hidden="1" x14ac:dyDescent="0.35">
      <c r="A129" s="49" t="str">
        <f xml:space="preserve"> _xll.EPMOlapMemberO("[PRODUCT].[PARENTH1].[HYPERTENSION]","","Established Cardiovascular","","000")</f>
        <v>Established Cardiovascular</v>
      </c>
      <c r="B129" s="31">
        <v>13673792.6</v>
      </c>
      <c r="C129" s="31">
        <v>126597913.84</v>
      </c>
      <c r="D129" s="31">
        <v>86471565.489999995</v>
      </c>
      <c r="E129" s="31">
        <v>146431259.75</v>
      </c>
      <c r="F129" s="31">
        <v>36609603.710000001</v>
      </c>
      <c r="G129" s="31">
        <f t="shared" si="16"/>
        <v>-1599.6200000047684</v>
      </c>
      <c r="H129" s="31">
        <v>409782535.76999998</v>
      </c>
      <c r="J129" s="31">
        <v>9359715.2799999993</v>
      </c>
      <c r="K129" s="31">
        <v>117702718.67</v>
      </c>
      <c r="L129" s="31">
        <v>84152948.900000006</v>
      </c>
      <c r="M129" s="31">
        <v>141844440.97</v>
      </c>
      <c r="N129" s="31">
        <v>35881923.689999998</v>
      </c>
      <c r="O129" s="31">
        <v>0</v>
      </c>
      <c r="P129" s="31">
        <v>388941747.50999999</v>
      </c>
    </row>
    <row r="130" spans="1:16" hidden="1" x14ac:dyDescent="0.35">
      <c r="A130" s="43" t="str">
        <f xml:space="preserve"> _xll.EPMOlapMemberO("[PRODUCT].[PARENTH1].[XLI]","","Livial","","000")</f>
        <v>Livial</v>
      </c>
      <c r="C130" s="31">
        <v>3597711.9</v>
      </c>
      <c r="D130" s="31">
        <v>1895453.45</v>
      </c>
      <c r="E130" s="31">
        <v>3383472.19</v>
      </c>
      <c r="F130" s="31">
        <v>2818560.94</v>
      </c>
      <c r="G130" s="31">
        <f t="shared" si="16"/>
        <v>0</v>
      </c>
      <c r="H130" s="31">
        <v>11695198.48</v>
      </c>
      <c r="K130" s="31">
        <v>4474993.7</v>
      </c>
      <c r="L130" s="31">
        <v>914850.7</v>
      </c>
      <c r="M130" s="31">
        <v>3956438.46</v>
      </c>
      <c r="N130" s="31">
        <v>1820266.63</v>
      </c>
      <c r="O130" s="31">
        <v>0</v>
      </c>
      <c r="P130" s="31">
        <v>11166549.49</v>
      </c>
    </row>
    <row r="131" spans="1:16" hidden="1" x14ac:dyDescent="0.35">
      <c r="A131" s="43" t="str">
        <f xml:space="preserve"> _xll.EPMOlapMemberO("[PRODUCT].[PARENTH1].[XEL]","","Estradiol","","000")</f>
        <v>Estradiol</v>
      </c>
      <c r="E131" s="31">
        <v>2995658.8</v>
      </c>
      <c r="F131" s="31">
        <v>788578.24</v>
      </c>
      <c r="G131" s="31">
        <f t="shared" si="16"/>
        <v>0</v>
      </c>
      <c r="H131" s="31">
        <v>3784237.04</v>
      </c>
      <c r="K131" s="31">
        <v>-16.100000000000001</v>
      </c>
      <c r="M131" s="31">
        <v>2771376.15</v>
      </c>
      <c r="N131" s="31">
        <v>781564.5</v>
      </c>
      <c r="O131" s="31">
        <v>0</v>
      </c>
      <c r="P131" s="31">
        <v>3552924.55</v>
      </c>
    </row>
    <row r="132" spans="1:16" hidden="1" x14ac:dyDescent="0.35">
      <c r="A132" s="43" t="str">
        <f xml:space="preserve"> _xll.EPMOlapMemberO("[PRODUCT].[PARENTH1].[XPM]","","Prometrium","","000")</f>
        <v>Prometrium</v>
      </c>
      <c r="E132" s="31">
        <v>5096466.42</v>
      </c>
      <c r="G132" s="31">
        <f t="shared" si="16"/>
        <v>0</v>
      </c>
      <c r="H132" s="31">
        <v>5096466.42</v>
      </c>
      <c r="M132" s="31">
        <v>4426642.2</v>
      </c>
      <c r="O132" s="31">
        <v>0</v>
      </c>
      <c r="P132" s="31">
        <v>4426642.2</v>
      </c>
    </row>
    <row r="133" spans="1:16" hidden="1" x14ac:dyDescent="0.35">
      <c r="A133" s="43" t="str">
        <f xml:space="preserve"> _xll.EPMOlapMemberO("[PRODUCT].[PARENTH1].[XWE]","","Duavive","","000")</f>
        <v>Duavive</v>
      </c>
      <c r="E133" s="31">
        <v>-2373.37</v>
      </c>
      <c r="G133" s="31">
        <f t="shared" si="16"/>
        <v>0</v>
      </c>
      <c r="H133" s="31">
        <v>-2373.37</v>
      </c>
      <c r="M133" s="31">
        <v>-6900.19</v>
      </c>
      <c r="O133" s="31">
        <v>0</v>
      </c>
      <c r="P133" s="31">
        <v>-6900.19</v>
      </c>
    </row>
    <row r="134" spans="1:16" hidden="1" x14ac:dyDescent="0.35">
      <c r="A134" s="44" t="str">
        <f xml:space="preserve"> _xll.EPMOlapMemberO("[PRODUCT].[PARENTH1].[HORMONES]","","Hormones","","000")</f>
        <v>Hormones</v>
      </c>
      <c r="C134" s="31">
        <v>3597711.9</v>
      </c>
      <c r="D134" s="31">
        <v>1895453.45</v>
      </c>
      <c r="E134" s="31">
        <v>11473224.039999999</v>
      </c>
      <c r="F134" s="31">
        <v>3607139.18</v>
      </c>
      <c r="G134" s="31">
        <f t="shared" si="16"/>
        <v>0</v>
      </c>
      <c r="H134" s="31">
        <v>20573528.57</v>
      </c>
      <c r="K134" s="31">
        <v>4474977.5999999996</v>
      </c>
      <c r="L134" s="31">
        <v>914850.7</v>
      </c>
      <c r="M134" s="31">
        <v>11147556.619999999</v>
      </c>
      <c r="N134" s="31">
        <v>2601831.13</v>
      </c>
      <c r="O134" s="31">
        <v>0</v>
      </c>
      <c r="P134" s="31">
        <v>19139216.050000001</v>
      </c>
    </row>
    <row r="135" spans="1:16" hidden="1" x14ac:dyDescent="0.35">
      <c r="A135" s="47" t="str">
        <f xml:space="preserve"> _xll.EPMOlapMemberO("[PRODUCT].[PARENTH1].[MXT]","","Maxalt","","000")</f>
        <v>Maxalt</v>
      </c>
      <c r="B135" s="31">
        <v>1243133.75</v>
      </c>
      <c r="C135" s="31">
        <v>1344659.94</v>
      </c>
      <c r="E135" s="31">
        <v>10255244.960000001</v>
      </c>
      <c r="F135" s="31">
        <v>771377.5</v>
      </c>
      <c r="G135" s="31">
        <f t="shared" si="16"/>
        <v>0</v>
      </c>
      <c r="H135" s="31">
        <v>13614416.15</v>
      </c>
      <c r="J135" s="31">
        <v>2071492.08</v>
      </c>
      <c r="K135" s="31">
        <v>1637732.8</v>
      </c>
      <c r="M135" s="31">
        <v>11110015.9</v>
      </c>
      <c r="N135" s="31">
        <v>1021508.07</v>
      </c>
      <c r="O135" s="31">
        <v>0</v>
      </c>
      <c r="P135" s="31">
        <v>15840748.85</v>
      </c>
    </row>
    <row r="136" spans="1:16" hidden="1" x14ac:dyDescent="0.35">
      <c r="A136" s="47" t="str">
        <f xml:space="preserve"> _xll.EPMOlapMemberO("[PRODUCT].[PARENTH1].[RIZ]","","Rizatriptan Bulk","","000")</f>
        <v>Rizatriptan Bulk</v>
      </c>
      <c r="C136" s="31">
        <v>158775.34</v>
      </c>
      <c r="E136" s="31">
        <v>0</v>
      </c>
      <c r="G136" s="31">
        <f t="shared" si="16"/>
        <v>0</v>
      </c>
      <c r="H136" s="31">
        <v>158775.34</v>
      </c>
      <c r="K136" s="31">
        <v>391276.99</v>
      </c>
      <c r="M136" s="31">
        <v>75034.98</v>
      </c>
      <c r="O136" s="31">
        <v>0</v>
      </c>
      <c r="P136" s="31">
        <v>466311.97</v>
      </c>
    </row>
    <row r="137" spans="1:16" hidden="1" x14ac:dyDescent="0.35">
      <c r="A137" s="43" t="str">
        <f xml:space="preserve"> _xll.EPMOlapMemberO("[PRODUCT].[PARENTH1].[MAXALTPROD]","","Maxalt Products","","000")</f>
        <v>Maxalt Products</v>
      </c>
      <c r="B137" s="31">
        <v>1243133.75</v>
      </c>
      <c r="C137" s="31">
        <v>1503435.28</v>
      </c>
      <c r="E137" s="31">
        <v>10255244.960000001</v>
      </c>
      <c r="F137" s="31">
        <v>771377.5</v>
      </c>
      <c r="G137" s="31">
        <f t="shared" si="16"/>
        <v>0</v>
      </c>
      <c r="H137" s="31">
        <v>13773191.49</v>
      </c>
      <c r="J137" s="31">
        <v>2071492.08</v>
      </c>
      <c r="K137" s="31">
        <v>2029009.79</v>
      </c>
      <c r="M137" s="31">
        <v>11185050.880000001</v>
      </c>
      <c r="N137" s="31">
        <v>1021508.07</v>
      </c>
      <c r="O137" s="31">
        <v>0</v>
      </c>
      <c r="P137" s="31">
        <v>16307060.82</v>
      </c>
    </row>
    <row r="138" spans="1:16" hidden="1" x14ac:dyDescent="0.35">
      <c r="A138" s="43" t="str">
        <f xml:space="preserve"> _xll.EPMOlapMemberO("[PRODUCT].[PARENTH1].[XRE]","","Remeron","","000")</f>
        <v>Remeron</v>
      </c>
      <c r="B138" s="31">
        <v>335503.48</v>
      </c>
      <c r="C138" s="31">
        <v>2987912.69</v>
      </c>
      <c r="D138" s="31">
        <v>4829287</v>
      </c>
      <c r="E138" s="31">
        <v>2880444.13</v>
      </c>
      <c r="F138" s="31">
        <v>1897183.69</v>
      </c>
      <c r="G138" s="31">
        <f t="shared" si="16"/>
        <v>0</v>
      </c>
      <c r="H138" s="31">
        <v>12930330.99</v>
      </c>
      <c r="J138" s="31">
        <v>520460.99</v>
      </c>
      <c r="K138" s="31">
        <v>3996188.59</v>
      </c>
      <c r="L138" s="31">
        <v>5127408.1100000003</v>
      </c>
      <c r="M138" s="31">
        <v>5285360.25</v>
      </c>
      <c r="N138" s="31">
        <v>2299965.59</v>
      </c>
      <c r="O138" s="31">
        <v>0</v>
      </c>
      <c r="P138" s="31">
        <v>17229383.530000001</v>
      </c>
    </row>
    <row r="139" spans="1:16" hidden="1" x14ac:dyDescent="0.35">
      <c r="A139" s="43" t="str">
        <f xml:space="preserve"> _xll.EPMOlapMemberO("[PRODUCT].[PARENTH1].[SINEMETPROD]","","Sinemet Products","","000")</f>
        <v>Sinemet Products</v>
      </c>
      <c r="B139" s="31">
        <v>-444707.03</v>
      </c>
      <c r="C139" s="31">
        <v>3790269.91</v>
      </c>
      <c r="D139" s="31">
        <v>845413</v>
      </c>
      <c r="E139" s="31">
        <v>12038848.720000001</v>
      </c>
      <c r="F139" s="31">
        <v>829675.15</v>
      </c>
      <c r="G139" s="31">
        <f t="shared" si="16"/>
        <v>0</v>
      </c>
      <c r="H139" s="31">
        <v>17059499.75</v>
      </c>
      <c r="J139" s="31">
        <v>29083.07</v>
      </c>
      <c r="K139" s="31">
        <v>3069072.62</v>
      </c>
      <c r="L139" s="31">
        <v>584514.78</v>
      </c>
      <c r="M139" s="31">
        <v>14024998.58</v>
      </c>
      <c r="N139" s="31">
        <v>373382.93</v>
      </c>
      <c r="O139" s="31">
        <v>0</v>
      </c>
      <c r="P139" s="31">
        <v>18081051.98</v>
      </c>
    </row>
    <row r="140" spans="1:16" hidden="1" x14ac:dyDescent="0.35">
      <c r="A140" s="43" t="str">
        <f xml:space="preserve"> _xll.EPMOlapMemberO("[PRODUCT].[PARENTH1].[XSA]","","Saphris","","000")</f>
        <v>Saphris</v>
      </c>
      <c r="B140" s="31">
        <v>5777685.4800000004</v>
      </c>
      <c r="C140" s="31">
        <v>3081533.74</v>
      </c>
      <c r="E140" s="31">
        <v>3145314.44</v>
      </c>
      <c r="G140" s="31">
        <f t="shared" si="16"/>
        <v>259.11999999918044</v>
      </c>
      <c r="H140" s="31">
        <v>12004792.779999999</v>
      </c>
      <c r="J140" s="31">
        <v>8100029.7599999998</v>
      </c>
      <c r="K140" s="31">
        <v>949632.48</v>
      </c>
      <c r="M140" s="31">
        <v>3414053.48</v>
      </c>
      <c r="O140" s="31">
        <v>3.7037250799999999</v>
      </c>
      <c r="P140" s="31">
        <v>12554707.869999999</v>
      </c>
    </row>
    <row r="141" spans="1:16" hidden="1" x14ac:dyDescent="0.35">
      <c r="A141" s="43" t="str">
        <f xml:space="preserve"> _xll.EPMOlapMemberO("[PRODUCT].[PARENTH1].[XMR]","","Tolvon","","000")</f>
        <v>Tolvon</v>
      </c>
      <c r="C141" s="31">
        <v>352921.85</v>
      </c>
      <c r="E141" s="31">
        <v>807460.81</v>
      </c>
      <c r="F141" s="31">
        <v>259708</v>
      </c>
      <c r="G141" s="31">
        <f t="shared" ref="G141:G161" si="17">H141-SUM(B141:F141)</f>
        <v>0</v>
      </c>
      <c r="H141" s="31">
        <v>1420090.66</v>
      </c>
      <c r="K141" s="31">
        <v>319601.14</v>
      </c>
      <c r="M141" s="31">
        <v>1098459.1599999999</v>
      </c>
      <c r="N141" s="31">
        <v>313588.40000000002</v>
      </c>
      <c r="O141" s="31">
        <v>0</v>
      </c>
      <c r="P141" s="31">
        <v>1731648.7</v>
      </c>
    </row>
    <row r="142" spans="1:16" hidden="1" x14ac:dyDescent="0.35">
      <c r="A142" s="43" t="str">
        <f xml:space="preserve"> _xll.EPMOlapMemberO("[PRODUCT].[PARENTH1].[SAP]","","Saphris AG","","000")</f>
        <v>Saphris AG</v>
      </c>
      <c r="G142" s="31">
        <f t="shared" si="17"/>
        <v>0</v>
      </c>
      <c r="O142" s="31">
        <v>0</v>
      </c>
    </row>
    <row r="143" spans="1:16" hidden="1" x14ac:dyDescent="0.35">
      <c r="A143" s="43" t="str">
        <f xml:space="preserve"> _xll.EPMOlapMemberO("[PRODUCT].[PARENTH1].[XRN]","","Reslin","","000")</f>
        <v>Reslin</v>
      </c>
      <c r="C143" s="31">
        <v>677949.46</v>
      </c>
      <c r="G143" s="31">
        <f t="shared" si="17"/>
        <v>0</v>
      </c>
      <c r="H143" s="31">
        <v>677949.46</v>
      </c>
      <c r="K143" s="31">
        <v>1164194.03</v>
      </c>
      <c r="O143" s="31">
        <v>0</v>
      </c>
      <c r="P143" s="31">
        <v>1164194.03</v>
      </c>
    </row>
    <row r="144" spans="1:16" hidden="1" x14ac:dyDescent="0.35">
      <c r="A144" s="43" t="str">
        <f xml:space="preserve"> _xll.EPMOlapMemberO("[PRODUCT].[PARENTH1].[TLA]","","Taloxa","","000")</f>
        <v>Taloxa</v>
      </c>
      <c r="E144" s="31">
        <v>827708.46</v>
      </c>
      <c r="F144" s="31">
        <v>0</v>
      </c>
      <c r="G144" s="31">
        <f t="shared" si="17"/>
        <v>0</v>
      </c>
      <c r="H144" s="31">
        <v>827708.46</v>
      </c>
      <c r="K144" s="31">
        <v>294.2</v>
      </c>
      <c r="M144" s="31">
        <v>933597.19</v>
      </c>
      <c r="N144" s="31">
        <v>8434.23</v>
      </c>
      <c r="O144" s="31">
        <v>0</v>
      </c>
      <c r="P144" s="31">
        <v>942325.62</v>
      </c>
    </row>
    <row r="145" spans="1:16" hidden="1" x14ac:dyDescent="0.35">
      <c r="A145" s="44" t="str">
        <f xml:space="preserve"> _xll.EPMOlapMemberO("[PRODUCT].[PARENTH1].[LEGACY_CNS]","","Established CNS","","000")</f>
        <v>Established CNS</v>
      </c>
      <c r="B145" s="31">
        <v>6911615.6799999997</v>
      </c>
      <c r="C145" s="31">
        <v>12394022.93</v>
      </c>
      <c r="D145" s="31">
        <v>5674700</v>
      </c>
      <c r="E145" s="31">
        <v>29955021.52</v>
      </c>
      <c r="F145" s="31">
        <v>3757944.34</v>
      </c>
      <c r="G145" s="31">
        <f t="shared" si="17"/>
        <v>259.12000000476837</v>
      </c>
      <c r="H145" s="31">
        <v>58693563.590000004</v>
      </c>
      <c r="J145" s="31">
        <v>10721065.9</v>
      </c>
      <c r="K145" s="31">
        <v>11527992.85</v>
      </c>
      <c r="L145" s="31">
        <v>5711922.8899999997</v>
      </c>
      <c r="M145" s="31">
        <v>35941519.539999999</v>
      </c>
      <c r="N145" s="31">
        <v>4016879.22</v>
      </c>
      <c r="O145" s="31">
        <v>3.7037250799999999</v>
      </c>
      <c r="P145" s="31">
        <v>68010372.549999997</v>
      </c>
    </row>
    <row r="146" spans="1:16" hidden="1" x14ac:dyDescent="0.35">
      <c r="A146" s="47" t="str">
        <f xml:space="preserve"> _xll.EPMOlapMemberO("[PRODUCT].[PARENTH1].[PROSCARPROD]","","Proscar Products","","000")</f>
        <v>Proscar Products</v>
      </c>
      <c r="B146" s="31">
        <v>331987.46999999997</v>
      </c>
      <c r="C146" s="31">
        <v>4219813.5199999996</v>
      </c>
      <c r="D146" s="31">
        <v>16432138</v>
      </c>
      <c r="E146" s="31">
        <v>2423529.4</v>
      </c>
      <c r="F146" s="31">
        <v>880551.39</v>
      </c>
      <c r="G146" s="31">
        <f t="shared" si="17"/>
        <v>0</v>
      </c>
      <c r="H146" s="31">
        <v>24288019.780000001</v>
      </c>
      <c r="J146" s="31">
        <v>328735.34999999998</v>
      </c>
      <c r="K146" s="31">
        <v>5021284.55</v>
      </c>
      <c r="L146" s="31">
        <v>23308078.699999999</v>
      </c>
      <c r="M146" s="31">
        <v>3006178.72</v>
      </c>
      <c r="N146" s="31">
        <v>644548.28</v>
      </c>
      <c r="O146" s="31">
        <v>0</v>
      </c>
      <c r="P146" s="31">
        <v>32308825.600000001</v>
      </c>
    </row>
    <row r="147" spans="1:16" hidden="1" x14ac:dyDescent="0.35">
      <c r="A147" s="47" t="str">
        <f xml:space="preserve"> _xll.EPMOlapMemberO("[PRODUCT].[PARENTH1].[PROPECIAPROD]","","Propecia Products","","000")</f>
        <v>Propecia Products</v>
      </c>
      <c r="B147" s="31">
        <v>1269951.8999999999</v>
      </c>
      <c r="C147" s="31">
        <v>16072973.58</v>
      </c>
      <c r="D147" s="31">
        <v>8602004</v>
      </c>
      <c r="E147" s="31">
        <v>3184912.56</v>
      </c>
      <c r="F147" s="31">
        <v>1251269.33</v>
      </c>
      <c r="G147" s="31">
        <f t="shared" si="17"/>
        <v>0</v>
      </c>
      <c r="H147" s="31">
        <v>30381111.370000001</v>
      </c>
      <c r="J147" s="31">
        <v>2039420.37</v>
      </c>
      <c r="K147" s="31">
        <v>17412811.25</v>
      </c>
      <c r="L147" s="31">
        <v>7788261.4900000002</v>
      </c>
      <c r="M147" s="31">
        <v>2665422.17</v>
      </c>
      <c r="N147" s="31">
        <v>866881.72</v>
      </c>
      <c r="O147" s="31">
        <v>0</v>
      </c>
      <c r="P147" s="31">
        <v>30772797</v>
      </c>
    </row>
    <row r="148" spans="1:16" hidden="1" x14ac:dyDescent="0.35">
      <c r="A148" s="43" t="str">
        <f xml:space="preserve"> _xll.EPMOlapMemberO("[PRODUCT].[PARENTH1].[UROLOGY]","","Men's Health","","000")</f>
        <v>Men's Health</v>
      </c>
      <c r="B148" s="31">
        <v>1601939.37</v>
      </c>
      <c r="C148" s="31">
        <v>20292787.100000001</v>
      </c>
      <c r="D148" s="31">
        <v>25034142</v>
      </c>
      <c r="E148" s="31">
        <v>5608441.96</v>
      </c>
      <c r="F148" s="31">
        <v>2131820.7200000002</v>
      </c>
      <c r="G148" s="31">
        <f t="shared" si="17"/>
        <v>0</v>
      </c>
      <c r="H148" s="31">
        <v>54669131.149999999</v>
      </c>
      <c r="J148" s="31">
        <v>2368155.7200000002</v>
      </c>
      <c r="K148" s="31">
        <v>22434095.800000001</v>
      </c>
      <c r="L148" s="31">
        <v>31096340.190000001</v>
      </c>
      <c r="M148" s="31">
        <v>5671600.8899999997</v>
      </c>
      <c r="N148" s="31">
        <v>1511430</v>
      </c>
      <c r="O148" s="31">
        <v>0</v>
      </c>
      <c r="P148" s="31">
        <v>63081622.600000001</v>
      </c>
    </row>
    <row r="149" spans="1:16" hidden="1" x14ac:dyDescent="0.35">
      <c r="A149" s="43" t="str">
        <f xml:space="preserve"> _xll.EPMOlapMemberO("[PRODUCT].[PARENTH1].[TOTAL_OTH_PHARM_PROD]","","Total Other Pharm Products","","000")</f>
        <v>Total Other Pharm Products</v>
      </c>
      <c r="B149" s="31">
        <v>344109.66</v>
      </c>
      <c r="E149" s="31">
        <v>-367835.13</v>
      </c>
      <c r="F149" s="31">
        <v>-62730</v>
      </c>
      <c r="G149" s="31">
        <f t="shared" si="17"/>
        <v>0</v>
      </c>
      <c r="H149" s="31">
        <v>-86455.47</v>
      </c>
      <c r="O149" s="31">
        <v>0</v>
      </c>
    </row>
    <row r="150" spans="1:16" hidden="1" x14ac:dyDescent="0.35">
      <c r="A150" s="43" t="str">
        <f xml:space="preserve"> _xll.EPMOlapMemberO("[PRODUCT].[PARENTH1].[CTZ]","","Cotazym","","000")</f>
        <v>Cotazym</v>
      </c>
      <c r="E150" s="31">
        <v>2341793.63</v>
      </c>
      <c r="G150" s="31">
        <f t="shared" si="17"/>
        <v>0</v>
      </c>
      <c r="H150" s="31">
        <v>2341793.63</v>
      </c>
      <c r="M150" s="31">
        <v>1781078.4</v>
      </c>
      <c r="O150" s="31">
        <v>0</v>
      </c>
      <c r="P150" s="31">
        <v>1781078.4</v>
      </c>
    </row>
    <row r="151" spans="1:16" hidden="1" x14ac:dyDescent="0.35">
      <c r="A151" s="43" t="str">
        <f xml:space="preserve"> _xll.EPMOlapMemberO("[PRODUCT].[PARENTH1].[PPT]","","Pregcolor Pregnancy Test","","000")</f>
        <v>Pregcolor Pregnancy Test</v>
      </c>
      <c r="F151" s="31">
        <v>79421.42</v>
      </c>
      <c r="G151" s="31">
        <f t="shared" si="17"/>
        <v>0</v>
      </c>
      <c r="H151" s="31">
        <v>79421.42</v>
      </c>
      <c r="O151" s="31">
        <v>0</v>
      </c>
    </row>
    <row r="152" spans="1:16" hidden="1" x14ac:dyDescent="0.35">
      <c r="A152" s="43" t="str">
        <f xml:space="preserve"> _xll.EPMOlapMemberO("[PRODUCT].[PARENTH1].[MIG]","","Branded Generics - Established","","000")</f>
        <v>Branded Generics - Established</v>
      </c>
      <c r="G152" s="31">
        <f t="shared" si="17"/>
        <v>0</v>
      </c>
      <c r="O152" s="31">
        <v>0</v>
      </c>
    </row>
    <row r="153" spans="1:16" hidden="1" x14ac:dyDescent="0.35">
      <c r="A153" s="43" t="str">
        <f xml:space="preserve"> _xll.EPMOlapMemberO("[PRODUCT].[PARENTH1].[AUX]","","Auxiliary Components","","000")</f>
        <v>Auxiliary Components</v>
      </c>
      <c r="B153" s="31">
        <v>54600</v>
      </c>
      <c r="G153" s="31">
        <f t="shared" si="17"/>
        <v>0</v>
      </c>
      <c r="H153" s="31">
        <v>54600</v>
      </c>
      <c r="O153" s="31">
        <v>0</v>
      </c>
    </row>
    <row r="154" spans="1:16" hidden="1" x14ac:dyDescent="0.35">
      <c r="A154" s="44" t="str">
        <f xml:space="preserve"> _xll.EPMOlapMemberO("[PRODUCT].[PARENTH1].[OTHER_LEGACY]","","Other Established","","000")</f>
        <v>Other Established</v>
      </c>
      <c r="B154" s="31">
        <v>2000649.03</v>
      </c>
      <c r="C154" s="31">
        <v>20292787.100000001</v>
      </c>
      <c r="D154" s="31">
        <v>25034142</v>
      </c>
      <c r="E154" s="31">
        <v>7582400.46</v>
      </c>
      <c r="F154" s="31">
        <v>2148512.14</v>
      </c>
      <c r="G154" s="31">
        <f t="shared" si="17"/>
        <v>0</v>
      </c>
      <c r="H154" s="31">
        <v>57058490.729999997</v>
      </c>
      <c r="J154" s="31">
        <v>2368155.7200000002</v>
      </c>
      <c r="K154" s="31">
        <v>22434095.800000001</v>
      </c>
      <c r="L154" s="31">
        <v>31096340.190000001</v>
      </c>
      <c r="M154" s="31">
        <v>7452679.29</v>
      </c>
      <c r="N154" s="31">
        <v>1511430</v>
      </c>
      <c r="O154" s="31">
        <v>0</v>
      </c>
      <c r="P154" s="31">
        <v>64862701</v>
      </c>
    </row>
    <row r="155" spans="1:16" hidden="1" x14ac:dyDescent="0.35">
      <c r="A155" s="49" t="str">
        <f xml:space="preserve"> _xll.EPMOlapMemberO("[PRODUCT].[PARENTH1].[LEGACY_OTHER]","","Established Other","","000")</f>
        <v>Established Other</v>
      </c>
      <c r="B155" s="31">
        <v>8912264.7100000009</v>
      </c>
      <c r="C155" s="31">
        <v>36284521.93</v>
      </c>
      <c r="D155" s="31">
        <v>32604295.449999999</v>
      </c>
      <c r="E155" s="31">
        <v>49010646.020000003</v>
      </c>
      <c r="F155" s="31">
        <v>9513595.6600000001</v>
      </c>
      <c r="G155" s="31">
        <f t="shared" si="17"/>
        <v>259.11999997496605</v>
      </c>
      <c r="H155" s="31">
        <v>136325582.88999999</v>
      </c>
      <c r="J155" s="31">
        <v>13089221.619999999</v>
      </c>
      <c r="K155" s="31">
        <v>38437066.25</v>
      </c>
      <c r="L155" s="31">
        <v>37723113.780000001</v>
      </c>
      <c r="M155" s="31">
        <v>54541755.450000003</v>
      </c>
      <c r="N155" s="31">
        <v>8130140.3499999996</v>
      </c>
      <c r="O155" s="31">
        <v>0</v>
      </c>
      <c r="P155" s="31">
        <v>152012289.59999999</v>
      </c>
    </row>
    <row r="156" spans="1:16" hidden="1" x14ac:dyDescent="0.35">
      <c r="A156" s="46" t="str">
        <f xml:space="preserve"> _xll.EPMOlapMemberO("[PRODUCT].[PARENTH1].[LEGACY_BRANDS]","","Established Brands","","000")</f>
        <v>Established Brands</v>
      </c>
      <c r="B156" s="31">
        <v>82220004.299999997</v>
      </c>
      <c r="C156" s="31">
        <v>278304400.63</v>
      </c>
      <c r="D156" s="31">
        <v>216209892.71000001</v>
      </c>
      <c r="E156" s="31">
        <v>325347035.52999997</v>
      </c>
      <c r="F156" s="31">
        <v>149808930.00999999</v>
      </c>
      <c r="G156" s="31">
        <f t="shared" si="17"/>
        <v>732465.5</v>
      </c>
      <c r="H156" s="31">
        <v>1052622728.6799999</v>
      </c>
      <c r="J156" s="31">
        <v>77767567.150000006</v>
      </c>
      <c r="K156" s="31">
        <v>238575253.28</v>
      </c>
      <c r="L156" s="31">
        <v>194718958.52000001</v>
      </c>
      <c r="M156" s="31">
        <v>319744594.76999998</v>
      </c>
      <c r="N156" s="31">
        <v>126565855.78</v>
      </c>
      <c r="O156" s="31">
        <v>0</v>
      </c>
      <c r="P156" s="31">
        <v>957463221.64999998</v>
      </c>
    </row>
    <row r="157" spans="1:16" hidden="1" x14ac:dyDescent="0.35">
      <c r="A157" s="51" t="str">
        <f xml:space="preserve"> _xll.EPMOlapMemberO("[PRODUCT].[PARENTH1].[ORGANON_TOTAL]","","Organon","","000")</f>
        <v>Organon</v>
      </c>
      <c r="B157" s="31">
        <v>328421714.94999999</v>
      </c>
      <c r="C157" s="31">
        <v>313956948.58999997</v>
      </c>
      <c r="D157" s="31">
        <v>236230458.08000001</v>
      </c>
      <c r="E157" s="31">
        <v>440762383.14999998</v>
      </c>
      <c r="F157" s="31">
        <v>208981437.36000001</v>
      </c>
      <c r="G157" s="31">
        <f t="shared" si="17"/>
        <v>732465.5</v>
      </c>
      <c r="H157" s="31">
        <v>1529085407.6300001</v>
      </c>
      <c r="J157" s="31">
        <v>351167460.17000002</v>
      </c>
      <c r="K157" s="31">
        <v>278133183.80000001</v>
      </c>
      <c r="L157" s="31">
        <v>205423958.50999999</v>
      </c>
      <c r="M157" s="31">
        <v>435003195.88999999</v>
      </c>
      <c r="N157" s="31">
        <v>167617721.22999999</v>
      </c>
      <c r="O157" s="31">
        <v>0</v>
      </c>
      <c r="P157" s="31">
        <v>1437436511.75</v>
      </c>
    </row>
    <row r="158" spans="1:16" hidden="1" x14ac:dyDescent="0.35">
      <c r="A158" s="51" t="str">
        <f xml:space="preserve"> _xll.EPMOlapMemberO("[PRODUCT].[PARENTH1].[XXX]","","Not Product Specific","","000")</f>
        <v>Not Product Specific</v>
      </c>
      <c r="B158" s="31">
        <v>278228.92</v>
      </c>
      <c r="E158" s="31">
        <v>-4334438.62</v>
      </c>
      <c r="F158" s="31">
        <v>51967.51</v>
      </c>
      <c r="G158" s="31">
        <f t="shared" si="17"/>
        <v>41535365.519999996</v>
      </c>
      <c r="H158" s="31">
        <v>37531123.329999998</v>
      </c>
      <c r="J158" s="31">
        <v>-170112.32</v>
      </c>
      <c r="K158" s="31">
        <v>405.54</v>
      </c>
      <c r="M158" s="31">
        <v>-1509930.06</v>
      </c>
      <c r="N158" s="31">
        <v>-1019567.61</v>
      </c>
      <c r="O158" s="31">
        <v>0</v>
      </c>
      <c r="P158" s="31">
        <v>68599690.310000002</v>
      </c>
    </row>
    <row r="159" spans="1:16" hidden="1" x14ac:dyDescent="0.35">
      <c r="A159" s="51" t="str">
        <f xml:space="preserve"> _xll.EPMOlapMemberO("[PRODUCT].[PARENTH1].[TBA]","","To be Allocated","","000")</f>
        <v>To be Allocated</v>
      </c>
      <c r="G159" s="31">
        <f t="shared" si="17"/>
        <v>0</v>
      </c>
      <c r="O159" s="31">
        <v>0</v>
      </c>
    </row>
    <row r="160" spans="1:16" hidden="1" x14ac:dyDescent="0.35">
      <c r="A160" s="51" t="str">
        <f xml:space="preserve"> _xll.EPMOlapMemberO("[PRODUCT].[PARENTH1].[MRK_TOT]","","Merck Products","","000")</f>
        <v>Merck Products</v>
      </c>
      <c r="C160" s="31">
        <v>-0.01</v>
      </c>
      <c r="E160" s="31">
        <v>-966.95</v>
      </c>
      <c r="F160" s="31">
        <v>-33.729999999999997</v>
      </c>
      <c r="G160" s="31">
        <f t="shared" si="17"/>
        <v>0</v>
      </c>
      <c r="H160" s="31">
        <v>-1000.69</v>
      </c>
      <c r="O160" s="31">
        <v>0</v>
      </c>
    </row>
    <row r="161" spans="1:16" hidden="1" x14ac:dyDescent="0.35">
      <c r="A161" s="42" t="str">
        <f xml:space="preserve"> _xll.EPMOlapMemberO("[PRODUCT].[PARENTH1].[PRODUCT]","","Total NewCo Products","","000")</f>
        <v>Total NewCo Products</v>
      </c>
      <c r="B161" s="31">
        <v>328699943.87</v>
      </c>
      <c r="C161" s="31">
        <v>313956948.57999998</v>
      </c>
      <c r="D161" s="31">
        <v>236230458.08000001</v>
      </c>
      <c r="E161" s="31">
        <v>436426977.57999998</v>
      </c>
      <c r="F161" s="31">
        <v>209033371.13999999</v>
      </c>
      <c r="G161" s="31">
        <f t="shared" si="17"/>
        <v>42267831.019999981</v>
      </c>
      <c r="H161" s="31">
        <v>1566615530.27</v>
      </c>
      <c r="J161" s="31">
        <v>350997347.85000002</v>
      </c>
      <c r="K161" s="31">
        <v>278133589.33999997</v>
      </c>
      <c r="L161" s="31">
        <v>205423958.50999999</v>
      </c>
      <c r="M161" s="31">
        <v>433493265.82999998</v>
      </c>
      <c r="N161" s="31">
        <v>166598153.62</v>
      </c>
      <c r="O161" s="31">
        <v>0</v>
      </c>
      <c r="P161" s="31">
        <v>1506036202.0599999</v>
      </c>
    </row>
  </sheetData>
  <pageMargins left="0.7" right="0.7" top="0.75" bottom="0.75" header="0.3" footer="0.3"/>
  <pageSetup orientation="portrait" r:id="rId1"/>
  <headerFooter>
    <oddHeader>&amp;L&amp;"Calibri"&amp;12&amp;K00B294[Organon] Proprietary&amp;1#</oddHead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2529" r:id="rId7" name="ConnectionDescriptorsInfo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22529" r:id="rId7" name="ConnectionDescriptorsInfotb1"/>
      </mc:Fallback>
    </mc:AlternateContent>
    <mc:AlternateContent xmlns:mc="http://schemas.openxmlformats.org/markup-compatibility/2006">
      <mc:Choice Requires="x14">
        <control shapeId="22530" r:id="rId9" name="MultipleReportManagerInfo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22530" r:id="rId9" name="MultipleReportManagerInfotb1"/>
      </mc:Fallback>
    </mc:AlternateContent>
    <mc:AlternateContent xmlns:mc="http://schemas.openxmlformats.org/markup-compatibility/2006">
      <mc:Choice Requires="x14">
        <control shapeId="22531" r:id="rId11" name="FPMExcelClientSheetOptions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22531" r:id="rId11" name="FPMExcelClientSheetOptionstb1"/>
      </mc:Fallback>
    </mc:AlternateContent>
    <mc:AlternateContent xmlns:mc="http://schemas.openxmlformats.org/markup-compatibility/2006">
      <mc:Choice Requires="x14">
        <control shapeId="22532" r:id="rId13" name="AnalyzerDynReport000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22532" r:id="rId13" name="AnalyzerDynReport000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2D2D-3D9A-4D1F-922D-9DF055E2A126}">
  <sheetPr>
    <tabColor theme="5" tint="0.79998168889431442"/>
    <pageSetUpPr fitToPage="1"/>
  </sheetPr>
  <dimension ref="A1:P53"/>
  <sheetViews>
    <sheetView showGridLines="0" zoomScaleNormal="100" workbookViewId="0">
      <selection activeCell="F41" sqref="F41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38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89">
        <v>2022</v>
      </c>
      <c r="C4" s="90"/>
      <c r="D4" s="90"/>
      <c r="E4" s="90"/>
      <c r="F4" s="90"/>
      <c r="G4" s="90"/>
      <c r="H4" s="90"/>
      <c r="J4" s="88">
        <v>2021</v>
      </c>
      <c r="K4" s="88"/>
      <c r="L4" s="88"/>
      <c r="M4" s="88"/>
      <c r="N4" s="88"/>
      <c r="O4" s="88"/>
      <c r="P4" s="88"/>
    </row>
    <row r="5" spans="1:16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f>('1Q 2022 Sales by Region Report'!B10)/1000000</f>
        <v>116.43259967</v>
      </c>
      <c r="C7" s="22">
        <f>('1Q 2022 Sales by Region Report'!C10)/1000000</f>
        <v>4.6763284699999996</v>
      </c>
      <c r="D7" s="22">
        <f>('1Q 2022 Sales by Region Report'!D10)/1000000</f>
        <v>0.25199141000000003</v>
      </c>
      <c r="E7" s="22">
        <f>('1Q 2022 Sales by Region Report'!E10)/1000000</f>
        <v>22.810488339999999</v>
      </c>
      <c r="F7" s="22">
        <f>('1Q 2022 Sales by Region Report'!F10)/1000000</f>
        <v>27.09293753</v>
      </c>
      <c r="G7" s="22">
        <f>('1Q 2022 Sales by Region Report'!G10)/1000000</f>
        <v>0</v>
      </c>
      <c r="H7" s="23">
        <f>('1Q 2022 Sales by Region Report'!H10)/1000000</f>
        <v>171.26434542000001</v>
      </c>
      <c r="I7" s="24">
        <v>0</v>
      </c>
      <c r="J7" s="24">
        <f>('1Q 2022 Sales by Region Report'!J10)/1000000</f>
        <v>140.77954937999999</v>
      </c>
      <c r="K7" s="24">
        <f>('1Q 2022 Sales by Region Report'!K10)/1000000</f>
        <v>6.2937482300000003</v>
      </c>
      <c r="L7" s="24">
        <f>('1Q 2022 Sales by Region Report'!L10)/1000000</f>
        <v>7.6084470000000001E-2</v>
      </c>
      <c r="M7" s="24">
        <f>('1Q 2022 Sales by Region Report'!M10)/1000000</f>
        <v>19.60453141</v>
      </c>
      <c r="N7" s="24">
        <f>('1Q 2022 Sales by Region Report'!N10)/1000000</f>
        <v>16.524952419999998</v>
      </c>
      <c r="O7" s="24">
        <f>('1Q 2022 Sales by Region Report'!O10)/1000000</f>
        <v>0</v>
      </c>
      <c r="P7" s="23">
        <f>('1Q 2022 Sales by Region Report'!P10)/1000000</f>
        <v>183.27886591000001</v>
      </c>
    </row>
    <row r="8" spans="1:16" x14ac:dyDescent="0.25">
      <c r="A8" s="8" t="s">
        <v>9</v>
      </c>
      <c r="B8" s="18">
        <f>('1Q 2022 Sales by Region Report'!B11)/1000000</f>
        <v>29.713006549999999</v>
      </c>
      <c r="C8" s="18">
        <f>('1Q 2022 Sales by Region Report'!C11)/1000000</f>
        <v>5.9324141100000007</v>
      </c>
      <c r="D8" s="18">
        <f>('1Q 2022 Sales by Region Report'!D11)/1000000</f>
        <v>13.68131318</v>
      </c>
      <c r="E8" s="18">
        <f>('1Q 2022 Sales by Region Report'!E11)/1000000</f>
        <v>9.4051154499999985</v>
      </c>
      <c r="F8" s="18">
        <f>('1Q 2022 Sales by Region Report'!F11)/1000000</f>
        <v>2.2973398899999999</v>
      </c>
      <c r="G8" s="18">
        <f>('1Q 2022 Sales by Region Report'!G11)/1000000</f>
        <v>0</v>
      </c>
      <c r="H8" s="19">
        <f>('1Q 2022 Sales by Region Report'!H11)/1000000</f>
        <v>61.029189180000003</v>
      </c>
      <c r="I8" s="2">
        <v>0</v>
      </c>
      <c r="J8" s="9">
        <f>('1Q 2022 Sales by Region Report'!J11)/1000000</f>
        <v>25.267166850000002</v>
      </c>
      <c r="K8" s="9">
        <f>('1Q 2022 Sales by Region Report'!K11)/1000000</f>
        <v>5.2858833299999999</v>
      </c>
      <c r="L8" s="9">
        <f>('1Q 2022 Sales by Region Report'!L11)/1000000</f>
        <v>7.8504597399999998</v>
      </c>
      <c r="M8" s="9">
        <f>('1Q 2022 Sales by Region Report'!M11)/1000000</f>
        <v>11.36124706</v>
      </c>
      <c r="N8" s="9">
        <f>('1Q 2022 Sales by Region Report'!N11)/1000000</f>
        <v>2.20959919</v>
      </c>
      <c r="O8" s="9">
        <f>('1Q 2022 Sales by Region Report'!O11)/1000000</f>
        <v>0</v>
      </c>
      <c r="P8" s="19">
        <f>('1Q 2022 Sales by Region Report'!P11)/1000000</f>
        <v>51.97435617</v>
      </c>
    </row>
    <row r="9" spans="1:16" x14ac:dyDescent="0.25">
      <c r="A9" s="8" t="s">
        <v>8</v>
      </c>
      <c r="B9" s="18">
        <f>('1Q 2022 Sales by Region Report'!B12)/1000000</f>
        <v>16.052947230000001</v>
      </c>
      <c r="C9" s="18">
        <f>('1Q 2022 Sales by Region Report'!C12)/1000000</f>
        <v>0.60799833999999997</v>
      </c>
      <c r="D9" s="18">
        <f>('1Q 2022 Sales by Region Report'!D12)/1000000</f>
        <v>0</v>
      </c>
      <c r="E9" s="18">
        <f>('1Q 2022 Sales by Region Report'!E12)/1000000</f>
        <v>16.234777449999999</v>
      </c>
      <c r="F9" s="18">
        <f>('1Q 2022 Sales by Region Report'!F12)/1000000</f>
        <v>7.6360015999999993</v>
      </c>
      <c r="G9" s="18">
        <f>('1Q 2022 Sales by Region Report'!G12)/1000000</f>
        <v>0</v>
      </c>
      <c r="H9" s="19">
        <f>('1Q 2022 Sales by Region Report'!H12)/1000000</f>
        <v>40.531724619999999</v>
      </c>
      <c r="I9" s="2">
        <v>0</v>
      </c>
      <c r="J9" s="9">
        <f>('1Q 2022 Sales by Region Report'!J12)/1000000</f>
        <v>20.97208251</v>
      </c>
      <c r="K9" s="9">
        <f>('1Q 2022 Sales by Region Report'!K12)/1000000</f>
        <v>0.33977792000000001</v>
      </c>
      <c r="L9" s="9">
        <f>('1Q 2022 Sales by Region Report'!L12)/1000000</f>
        <v>0</v>
      </c>
      <c r="M9" s="9">
        <f>('1Q 2022 Sales by Region Report'!M12)/1000000</f>
        <v>19.79161569</v>
      </c>
      <c r="N9" s="9">
        <f>('1Q 2022 Sales by Region Report'!N12)/1000000</f>
        <v>4.1219248400000001</v>
      </c>
      <c r="O9" s="9">
        <f>('1Q 2022 Sales by Region Report'!O12)/1000000</f>
        <v>0</v>
      </c>
      <c r="P9" s="19">
        <f>('1Q 2022 Sales by Region Report'!P12)/1000000</f>
        <v>45.225400960000002</v>
      </c>
    </row>
    <row r="10" spans="1:16" x14ac:dyDescent="0.25">
      <c r="A10" s="8" t="s">
        <v>52</v>
      </c>
      <c r="B10" s="18">
        <f>('1Q 2022 Sales by Region Report'!B13)/1000000</f>
        <v>7.6596379500000005</v>
      </c>
      <c r="C10" s="18">
        <f>('1Q 2022 Sales by Region Report'!C13)/1000000</f>
        <v>4.0724832500000003</v>
      </c>
      <c r="D10" s="18">
        <f>('1Q 2022 Sales by Region Report'!D13)/1000000</f>
        <v>5.0643650999999998</v>
      </c>
      <c r="E10" s="18">
        <f>('1Q 2022 Sales by Region Report'!E13)/1000000</f>
        <v>10.50011415</v>
      </c>
      <c r="F10" s="18">
        <f>('1Q 2022 Sales by Region Report'!F13)/1000000</f>
        <v>2.3804103199999997</v>
      </c>
      <c r="G10" s="18">
        <f>('1Q 2022 Sales by Region Report'!G13)/1000000</f>
        <v>0</v>
      </c>
      <c r="H10" s="19">
        <f>('1Q 2022 Sales by Region Report'!H13)/1000000</f>
        <v>29.677010769999999</v>
      </c>
      <c r="I10" s="2">
        <v>0</v>
      </c>
      <c r="J10" s="9">
        <f>('1Q 2022 Sales by Region Report'!J13)/1000000</f>
        <v>8.2749021599999999</v>
      </c>
      <c r="K10" s="9">
        <f>('1Q 2022 Sales by Region Report'!K13)/1000000</f>
        <v>6.9050175400000002</v>
      </c>
      <c r="L10" s="9">
        <f>('1Q 2022 Sales by Region Report'!L13)/1000000</f>
        <v>2.7784557799999998</v>
      </c>
      <c r="M10" s="9">
        <f>('1Q 2022 Sales by Region Report'!M13)/1000000</f>
        <v>8.9264351600000005</v>
      </c>
      <c r="N10" s="9">
        <f>('1Q 2022 Sales by Region Report'!N13)/1000000</f>
        <v>2.1795152500000001</v>
      </c>
      <c r="O10" s="9">
        <f>('1Q 2022 Sales by Region Report'!O13)/1000000</f>
        <v>0</v>
      </c>
      <c r="P10" s="19">
        <f>('1Q 2022 Sales by Region Report'!P13)/1000000</f>
        <v>29.064325889999999</v>
      </c>
    </row>
    <row r="11" spans="1:16" x14ac:dyDescent="0.25">
      <c r="A11" s="8" t="s">
        <v>10</v>
      </c>
      <c r="B11" s="18">
        <f>('1Q 2022 Sales by Region Report'!B14)/1000000</f>
        <v>0</v>
      </c>
      <c r="C11" s="18">
        <f>('1Q 2022 Sales by Region Report'!C14)/1000000</f>
        <v>0.38464476000000003</v>
      </c>
      <c r="D11" s="18">
        <f>('1Q 2022 Sales by Region Report'!D14)/1000000</f>
        <v>0</v>
      </c>
      <c r="E11" s="18">
        <f>('1Q 2022 Sales by Region Report'!E14)/1000000</f>
        <v>9.3732229100000009</v>
      </c>
      <c r="F11" s="18">
        <f>('1Q 2022 Sales by Region Report'!F14)/1000000</f>
        <v>7.7476640300000001</v>
      </c>
      <c r="G11" s="18">
        <f>('1Q 2022 Sales by Region Report'!G14)/1000000</f>
        <v>0</v>
      </c>
      <c r="H11" s="19">
        <f>('1Q 2022 Sales by Region Report'!H14)/1000000</f>
        <v>17.505531699999999</v>
      </c>
      <c r="I11" s="2">
        <v>0</v>
      </c>
      <c r="J11" s="9">
        <f>('1Q 2022 Sales by Region Report'!J14)/1000000</f>
        <v>0</v>
      </c>
      <c r="K11" s="9">
        <f>('1Q 2022 Sales by Region Report'!K14)/1000000</f>
        <v>0.44411878000000005</v>
      </c>
      <c r="L11" s="9">
        <f>('1Q 2022 Sales by Region Report'!L14)/1000000</f>
        <v>0</v>
      </c>
      <c r="M11" s="9">
        <f>('1Q 2022 Sales by Region Report'!M14)/1000000</f>
        <v>11.684623460000001</v>
      </c>
      <c r="N11" s="9">
        <f>('1Q 2022 Sales by Region Report'!N14)/1000000</f>
        <v>4.6006658499999995</v>
      </c>
      <c r="O11" s="9">
        <f>('1Q 2022 Sales by Region Report'!O14)/1000000</f>
        <v>0</v>
      </c>
      <c r="P11" s="19">
        <f>('1Q 2022 Sales by Region Report'!P14)/1000000</f>
        <v>16.72940809</v>
      </c>
    </row>
    <row r="12" spans="1:16" s="12" customFormat="1" ht="14" x14ac:dyDescent="0.25">
      <c r="A12" s="11" t="s">
        <v>50</v>
      </c>
      <c r="B12" s="18">
        <f>('1Q 2022 Sales by Region Report'!B15)/1000000</f>
        <v>27.001314550000011</v>
      </c>
      <c r="C12" s="18">
        <f>('1Q 2022 Sales by Region Report'!C15)/1000000</f>
        <v>12.380746159999999</v>
      </c>
      <c r="D12" s="18">
        <f>('1Q 2022 Sales by Region Report'!D15)/1000000</f>
        <v>1.0228956800000035</v>
      </c>
      <c r="E12" s="18">
        <f>('1Q 2022 Sales by Region Report'!E15)/1000000</f>
        <v>8.2020475799999986</v>
      </c>
      <c r="F12" s="18">
        <f>('1Q 2022 Sales by Region Report'!F15)/1000000</f>
        <v>9.3443142099999932</v>
      </c>
      <c r="G12" s="18">
        <f>('1Q 2022 Sales by Region Report'!G15)/1000000</f>
        <v>0</v>
      </c>
      <c r="H12" s="19">
        <f>('1Q 2022 Sales by Region Report'!H15)/1000000</f>
        <v>57.951318180000008</v>
      </c>
      <c r="I12" s="12">
        <v>0</v>
      </c>
      <c r="J12" s="9">
        <f>('1Q 2022 Sales by Region Report'!J15)/1000000</f>
        <v>39.836490900000037</v>
      </c>
      <c r="K12" s="9">
        <f>('1Q 2022 Sales by Region Report'!K15)/1000000</f>
        <v>13.201699399999999</v>
      </c>
      <c r="L12" s="9">
        <f>('1Q 2022 Sales by Region Report'!L15)/1000000</f>
        <v>0</v>
      </c>
      <c r="M12" s="9">
        <f>('1Q 2022 Sales by Region Report'!M15)/1000000</f>
        <v>10.244574939999998</v>
      </c>
      <c r="N12" s="9">
        <f>('1Q 2022 Sales by Region Report'!N15)/1000000</f>
        <v>9.7513313000000039</v>
      </c>
      <c r="O12" s="9">
        <f>('1Q 2022 Sales by Region Report'!O15)/1000000</f>
        <v>0</v>
      </c>
      <c r="P12" s="19">
        <f>('1Q 2022 Sales by Region Report'!P15)/1000000</f>
        <v>73.034096540000078</v>
      </c>
    </row>
    <row r="13" spans="1:16" s="12" customFormat="1" x14ac:dyDescent="0.25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5">
      <c r="A14" s="8" t="s">
        <v>11</v>
      </c>
      <c r="B14" s="18">
        <f>('1Q 2022 Sales by Region Report'!B17)/1000000</f>
        <v>42.04719712</v>
      </c>
      <c r="C14" s="18">
        <f>('1Q 2022 Sales by Region Report'!C17)/1000000</f>
        <v>1.4691949799999999</v>
      </c>
      <c r="D14" s="18">
        <f>('1Q 2022 Sales by Region Report'!D17)/1000000</f>
        <v>0</v>
      </c>
      <c r="E14" s="18">
        <f>('1Q 2022 Sales by Region Report'!E17)/1000000</f>
        <v>2.8727176299999999</v>
      </c>
      <c r="F14" s="18">
        <f>('1Q 2022 Sales by Region Report'!F17)/1000000</f>
        <v>0</v>
      </c>
      <c r="G14" s="18">
        <f>('1Q 2022 Sales by Region Report'!G17)/1000000</f>
        <v>0</v>
      </c>
      <c r="H14" s="19">
        <f>('1Q 2022 Sales by Region Report'!H17)/1000000</f>
        <v>46.389109729999994</v>
      </c>
      <c r="I14" s="2">
        <v>0</v>
      </c>
      <c r="J14" s="9">
        <f>('1Q 2022 Sales by Region Report'!J17)/1000000</f>
        <v>34.553514590000006</v>
      </c>
      <c r="K14" s="9">
        <f>('1Q 2022 Sales by Region Report'!K17)/1000000</f>
        <v>1.2778752600000001</v>
      </c>
      <c r="L14" s="9">
        <f>('1Q 2022 Sales by Region Report'!L17)/1000000</f>
        <v>0</v>
      </c>
      <c r="M14" s="9">
        <f>('1Q 2022 Sales by Region Report'!M17)/1000000</f>
        <v>2.5475403399999998</v>
      </c>
      <c r="N14" s="9">
        <f>('1Q 2022 Sales by Region Report'!N17)/1000000</f>
        <v>0</v>
      </c>
      <c r="O14" s="9">
        <f>('1Q 2022 Sales by Region Report'!O17)/1000000</f>
        <v>0</v>
      </c>
      <c r="P14" s="19">
        <f>('1Q 2022 Sales by Region Report'!P17)/1000000</f>
        <v>38.378930189999998</v>
      </c>
    </row>
    <row r="15" spans="1:16" x14ac:dyDescent="0.25">
      <c r="A15" s="8" t="s">
        <v>13</v>
      </c>
      <c r="B15" s="18">
        <f>('1Q 2022 Sales by Region Report'!B18)/1000000</f>
        <v>7.29500758</v>
      </c>
      <c r="C15" s="18">
        <f>('1Q 2022 Sales by Region Report'!C18)/1000000</f>
        <v>1.03312157</v>
      </c>
      <c r="D15" s="18">
        <f>('1Q 2022 Sales by Region Report'!D18)/1000000</f>
        <v>0</v>
      </c>
      <c r="E15" s="18">
        <f>('1Q 2022 Sales by Region Report'!E18)/1000000</f>
        <v>13.445276160000001</v>
      </c>
      <c r="F15" s="18">
        <f>('1Q 2022 Sales by Region Report'!F18)/1000000</f>
        <v>0.59416000000000002</v>
      </c>
      <c r="G15" s="18">
        <f>('1Q 2022 Sales by Region Report'!G18)/1000000</f>
        <v>0</v>
      </c>
      <c r="H15" s="19">
        <f>('1Q 2022 Sales by Region Report'!H18)/1000000</f>
        <v>22.36756531</v>
      </c>
      <c r="I15" s="2">
        <v>0</v>
      </c>
      <c r="J15" s="9">
        <f>('1Q 2022 Sales by Region Report'!J18)/1000000</f>
        <v>3.7161866299999997</v>
      </c>
      <c r="K15" s="9">
        <f>('1Q 2022 Sales by Region Report'!K18)/1000000</f>
        <v>0.16734394</v>
      </c>
      <c r="L15" s="9">
        <f>('1Q 2022 Sales by Region Report'!L18)/1000000</f>
        <v>0</v>
      </c>
      <c r="M15" s="9">
        <f>('1Q 2022 Sales by Region Report'!M18)/1000000</f>
        <v>18.546486550000001</v>
      </c>
      <c r="N15" s="9">
        <f>('1Q 2022 Sales by Region Report'!N18)/1000000</f>
        <v>0</v>
      </c>
      <c r="O15" s="9">
        <f>('1Q 2022 Sales by Region Report'!O18)/1000000</f>
        <v>0</v>
      </c>
      <c r="P15" s="19">
        <f>('1Q 2022 Sales by Region Report'!P18)/1000000</f>
        <v>22.430017120000002</v>
      </c>
    </row>
    <row r="16" spans="1:16" x14ac:dyDescent="0.25">
      <c r="A16" s="8" t="s">
        <v>14</v>
      </c>
      <c r="B16" s="18">
        <f>('1Q 2022 Sales by Region Report'!B19)/1000000</f>
        <v>0</v>
      </c>
      <c r="C16" s="18">
        <f>('1Q 2022 Sales by Region Report'!C19)/1000000</f>
        <v>4.29485603</v>
      </c>
      <c r="D16" s="18">
        <f>('1Q 2022 Sales by Region Report'!D19)/1000000</f>
        <v>0</v>
      </c>
      <c r="E16" s="18">
        <f>('1Q 2022 Sales by Region Report'!E19)/1000000</f>
        <v>8.2429127100000006</v>
      </c>
      <c r="F16" s="18">
        <f>('1Q 2022 Sales by Region Report'!F19)/1000000</f>
        <v>1.88910417</v>
      </c>
      <c r="G16" s="18">
        <f>('1Q 2022 Sales by Region Report'!G19)/1000000</f>
        <v>0</v>
      </c>
      <c r="H16" s="19">
        <f>('1Q 2022 Sales by Region Report'!H19)/1000000</f>
        <v>14.42687291</v>
      </c>
      <c r="I16" s="2">
        <v>0</v>
      </c>
      <c r="J16" s="9">
        <f>('1Q 2022 Sales by Region Report'!J19)/1000000</f>
        <v>0</v>
      </c>
      <c r="K16" s="9">
        <f>('1Q 2022 Sales by Region Report'!K19)/1000000</f>
        <v>3.9246718999999999</v>
      </c>
      <c r="L16" s="9">
        <f>('1Q 2022 Sales by Region Report'!L19)/1000000</f>
        <v>0</v>
      </c>
      <c r="M16" s="9">
        <f>('1Q 2022 Sales by Region Report'!M19)/1000000</f>
        <v>4.7096945699999999</v>
      </c>
      <c r="N16" s="9">
        <f>('1Q 2022 Sales by Region Report'!N19)/1000000</f>
        <v>1.6638766</v>
      </c>
      <c r="O16" s="9">
        <f>('1Q 2022 Sales by Region Report'!O19)/1000000</f>
        <v>0</v>
      </c>
      <c r="P16" s="19">
        <f>('1Q 2022 Sales by Region Report'!P19)/1000000</f>
        <v>10.29824307</v>
      </c>
    </row>
    <row r="17" spans="1:16" x14ac:dyDescent="0.25">
      <c r="A17" s="61" t="s">
        <v>62</v>
      </c>
      <c r="B17" s="18">
        <f>('1Q 2022 Sales by Region Report'!B20)/1000000</f>
        <v>0</v>
      </c>
      <c r="C17" s="18">
        <f>('1Q 2022 Sales by Region Report'!C20)/1000000</f>
        <v>0</v>
      </c>
      <c r="D17" s="18">
        <f>('1Q 2022 Sales by Region Report'!D20)/1000000</f>
        <v>0</v>
      </c>
      <c r="E17" s="18">
        <f>('1Q 2022 Sales by Region Report'!E20)/1000000</f>
        <v>9.6436298000000011</v>
      </c>
      <c r="F17" s="18">
        <f>('1Q 2022 Sales by Region Report'!F20)/1000000</f>
        <v>0</v>
      </c>
      <c r="G17" s="18">
        <f>('1Q 2022 Sales by Region Report'!G20)/1000000</f>
        <v>0</v>
      </c>
      <c r="H17" s="19">
        <f>('1Q 2022 Sales by Region Report'!H20)/1000000</f>
        <v>9.6436298000000011</v>
      </c>
      <c r="I17" s="2">
        <v>1</v>
      </c>
      <c r="J17" s="9">
        <f>('1Q 2022 Sales by Region Report'!J20)/1000000</f>
        <v>0</v>
      </c>
      <c r="K17" s="9">
        <f>('1Q 2022 Sales by Region Report'!K20)/1000000</f>
        <v>0</v>
      </c>
      <c r="L17" s="9">
        <f>('1Q 2022 Sales by Region Report'!L20)/1000000</f>
        <v>0</v>
      </c>
      <c r="M17" s="9">
        <f>('1Q 2022 Sales by Region Report'!M20)/1000000</f>
        <v>7.64041368</v>
      </c>
      <c r="N17" s="9">
        <f>('1Q 2022 Sales by Region Report'!N20)/1000000</f>
        <v>0</v>
      </c>
      <c r="O17" s="9">
        <f>('1Q 2022 Sales by Region Report'!O20)/1000000</f>
        <v>0</v>
      </c>
      <c r="P17" s="19">
        <f>('1Q 2022 Sales by Region Report'!P20)/1000000</f>
        <v>7.64041368</v>
      </c>
    </row>
    <row r="18" spans="1:16" x14ac:dyDescent="0.25">
      <c r="A18" s="8" t="s">
        <v>63</v>
      </c>
      <c r="B18" s="18">
        <f>('1Q 2022 Sales by Region Report'!B21)/1000000</f>
        <v>0</v>
      </c>
      <c r="C18" s="18">
        <f>('1Q 2022 Sales by Region Report'!C21)/1000000</f>
        <v>0.80076029000000004</v>
      </c>
      <c r="D18" s="18">
        <f>('1Q 2022 Sales by Region Report'!D21)/1000000</f>
        <v>0</v>
      </c>
      <c r="E18" s="18">
        <f>('1Q 2022 Sales by Region Report'!E21)/1000000</f>
        <v>4.68504539</v>
      </c>
      <c r="F18" s="18">
        <f>('1Q 2022 Sales by Region Report'!F21)/1000000</f>
        <v>0.19057560000000001</v>
      </c>
      <c r="G18" s="18">
        <f>('1Q 2022 Sales by Region Report'!G21)/1000000</f>
        <v>0</v>
      </c>
      <c r="H18" s="19">
        <f>('1Q 2022 Sales by Region Report'!H21)/1000000</f>
        <v>5.6763812800000002</v>
      </c>
      <c r="I18" s="2">
        <v>2</v>
      </c>
      <c r="J18" s="9">
        <f>('1Q 2022 Sales by Region Report'!J21)/1000000</f>
        <v>0</v>
      </c>
      <c r="K18" s="9">
        <f>('1Q 2022 Sales by Region Report'!K21)/1000000</f>
        <v>1.71779422</v>
      </c>
      <c r="L18" s="9">
        <f>('1Q 2022 Sales by Region Report'!L21)/1000000</f>
        <v>0</v>
      </c>
      <c r="M18" s="9">
        <f>('1Q 2022 Sales by Region Report'!M21)/1000000</f>
        <v>0.20143826000000001</v>
      </c>
      <c r="N18" s="9">
        <f>('1Q 2022 Sales by Region Report'!N21)/1000000</f>
        <v>0</v>
      </c>
      <c r="O18" s="9">
        <f>('1Q 2022 Sales by Region Report'!O21)/1000000</f>
        <v>0</v>
      </c>
      <c r="P18" s="19">
        <f>('1Q 2022 Sales by Region Report'!P21)/1000000</f>
        <v>1.91923248</v>
      </c>
    </row>
    <row r="19" spans="1:16" ht="14" hidden="1" x14ac:dyDescent="0.25">
      <c r="A19" s="8" t="s">
        <v>49</v>
      </c>
      <c r="B19" s="18">
        <f>('1Q 2022 Sales by Region Report'!B22)/1000000</f>
        <v>7.4505805969238278E-15</v>
      </c>
      <c r="C19" s="18">
        <f>('1Q 2022 Sales by Region Report'!C22)/1000000</f>
        <v>0</v>
      </c>
      <c r="D19" s="18">
        <f>('1Q 2022 Sales by Region Report'!D22)/1000000</f>
        <v>0</v>
      </c>
      <c r="E19" s="18">
        <f>('1Q 2022 Sales by Region Report'!E22)/1000000</f>
        <v>5.0000004470348355E-8</v>
      </c>
      <c r="F19" s="18">
        <f>('1Q 2022 Sales by Region Report'!F22)/1000000</f>
        <v>0</v>
      </c>
      <c r="G19" s="18">
        <f>('1Q 2022 Sales by Region Report'!G22)/1000000</f>
        <v>0</v>
      </c>
      <c r="H19" s="19">
        <f>('1Q 2022 Sales by Region Report'!H22)/1000000</f>
        <v>5.0000011920928953E-8</v>
      </c>
      <c r="I19" s="2">
        <v>0</v>
      </c>
      <c r="J19" s="9">
        <f>('1Q 2022 Sales by Region Report'!J22)/1000000</f>
        <v>-7.4505805969238278E-15</v>
      </c>
      <c r="K19" s="9">
        <f>('1Q 2022 Sales by Region Report'!K22)/1000000</f>
        <v>9.3132257461547847E-16</v>
      </c>
      <c r="L19" s="9">
        <f>('1Q 2022 Sales by Region Report'!L22)/1000000</f>
        <v>0</v>
      </c>
      <c r="M19" s="9">
        <f>('1Q 2022 Sales by Region Report'!M22)/1000000</f>
        <v>0</v>
      </c>
      <c r="N19" s="9">
        <f>('1Q 2022 Sales by Region Report'!N22)/1000000</f>
        <v>0</v>
      </c>
      <c r="O19" s="9">
        <f>('1Q 2022 Sales by Region Report'!O22)/1000000</f>
        <v>0</v>
      </c>
      <c r="P19" s="19">
        <f>('1Q 2022 Sales by Region Report'!P22)/1000000</f>
        <v>0</v>
      </c>
    </row>
    <row r="20" spans="1:16" x14ac:dyDescent="0.25">
      <c r="A20" s="6" t="s">
        <v>34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9">
        <v>0</v>
      </c>
      <c r="I20" s="2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9">
        <v>0</v>
      </c>
    </row>
    <row r="21" spans="1:16" x14ac:dyDescent="0.25">
      <c r="A21" s="13" t="s">
        <v>35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9">
        <v>0</v>
      </c>
      <c r="I21" s="2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9">
        <v>0</v>
      </c>
    </row>
    <row r="22" spans="1:16" x14ac:dyDescent="0.25">
      <c r="A22" s="8" t="s">
        <v>15</v>
      </c>
      <c r="B22" s="18">
        <f>('1Q 2022 Sales by Region Report'!B24)/1000000</f>
        <v>3.1647574900000004</v>
      </c>
      <c r="C22" s="18">
        <f>('1Q 2022 Sales by Region Report'!C24)/1000000</f>
        <v>22.294572339999998</v>
      </c>
      <c r="D22" s="18">
        <f>('1Q 2022 Sales by Region Report'!D24)/1000000</f>
        <v>46.110219999999998</v>
      </c>
      <c r="E22" s="18">
        <f>('1Q 2022 Sales by Region Report'!E24)/1000000</f>
        <v>22.220385320000002</v>
      </c>
      <c r="F22" s="18">
        <f>('1Q 2022 Sales by Region Report'!F24)/1000000</f>
        <v>5.5801697499999996</v>
      </c>
      <c r="G22" s="18">
        <f>('1Q 2022 Sales by Region Report'!G24)/1000000</f>
        <v>0</v>
      </c>
      <c r="H22" s="19">
        <f>('1Q 2022 Sales by Region Report'!H24)/1000000</f>
        <v>99.370104900000001</v>
      </c>
      <c r="I22" s="2">
        <v>0</v>
      </c>
      <c r="J22" s="9">
        <f>('1Q 2022 Sales by Region Report'!J24)/1000000</f>
        <v>2.38270223</v>
      </c>
      <c r="K22" s="9">
        <f>('1Q 2022 Sales by Region Report'!K24)/1000000</f>
        <v>18.638177809999998</v>
      </c>
      <c r="L22" s="9">
        <f>('1Q 2022 Sales by Region Report'!L24)/1000000</f>
        <v>38.604731569999998</v>
      </c>
      <c r="M22" s="9">
        <f>('1Q 2022 Sales by Region Report'!M24)/1000000</f>
        <v>25.733763079999999</v>
      </c>
      <c r="N22" s="9">
        <f>('1Q 2022 Sales by Region Report'!N24)/1000000</f>
        <v>6.4979487200000001</v>
      </c>
      <c r="O22" s="9">
        <f>('1Q 2022 Sales by Region Report'!O24)/1000000</f>
        <v>0</v>
      </c>
      <c r="P22" s="19">
        <f>('1Q 2022 Sales by Region Report'!P24)/1000000</f>
        <v>91.857323409999992</v>
      </c>
    </row>
    <row r="23" spans="1:16" x14ac:dyDescent="0.25">
      <c r="A23" s="11" t="s">
        <v>16</v>
      </c>
      <c r="B23" s="18">
        <f>('1Q 2022 Sales by Region Report'!B25)/1000000</f>
        <v>1.69913121</v>
      </c>
      <c r="C23" s="18">
        <f>('1Q 2022 Sales by Region Report'!C25)/1000000</f>
        <v>9.3941236999999997</v>
      </c>
      <c r="D23" s="18">
        <f>('1Q 2022 Sales by Region Report'!D25)/1000000</f>
        <v>0.21061299999999999</v>
      </c>
      <c r="E23" s="18">
        <f>('1Q 2022 Sales by Region Report'!E25)/1000000</f>
        <v>18.5858287</v>
      </c>
      <c r="F23" s="18">
        <f>('1Q 2022 Sales by Region Report'!F25)/1000000</f>
        <v>7.6621096299999998</v>
      </c>
      <c r="G23" s="18">
        <f>('1Q 2022 Sales by Region Report'!G25)/1000000</f>
        <v>-1.5996200000047683E-3</v>
      </c>
      <c r="H23" s="19">
        <f>('1Q 2022 Sales by Region Report'!H25)/1000000</f>
        <v>37.550206619999997</v>
      </c>
      <c r="I23" s="2">
        <v>0</v>
      </c>
      <c r="J23" s="9">
        <f>('1Q 2022 Sales by Region Report'!J25)/1000000</f>
        <v>2.5848351899999997</v>
      </c>
      <c r="K23" s="9">
        <f>('1Q 2022 Sales by Region Report'!K25)/1000000</f>
        <v>10.517888880000001</v>
      </c>
      <c r="L23" s="9">
        <f>('1Q 2022 Sales by Region Report'!L25)/1000000</f>
        <v>0.33903295999999999</v>
      </c>
      <c r="M23" s="9">
        <f>('1Q 2022 Sales by Region Report'!M25)/1000000</f>
        <v>18.634150920000003</v>
      </c>
      <c r="N23" s="9">
        <f>('1Q 2022 Sales by Region Report'!N25)/1000000</f>
        <v>8.698749900000001</v>
      </c>
      <c r="O23" s="9">
        <f>('1Q 2022 Sales by Region Report'!O25)/1000000</f>
        <v>0</v>
      </c>
      <c r="P23" s="19">
        <f>('1Q 2022 Sales by Region Report'!P25)/1000000</f>
        <v>40.774657850000004</v>
      </c>
    </row>
    <row r="24" spans="1:16" x14ac:dyDescent="0.25">
      <c r="A24" s="8" t="s">
        <v>17</v>
      </c>
      <c r="B24" s="18">
        <f>('1Q 2022 Sales by Region Report'!B26)/1000000</f>
        <v>0</v>
      </c>
      <c r="C24" s="18">
        <f>('1Q 2022 Sales by Region Report'!C26)/1000000</f>
        <v>36.097246270000007</v>
      </c>
      <c r="D24" s="18">
        <f>('1Q 2022 Sales by Region Report'!D26)/1000000</f>
        <v>0</v>
      </c>
      <c r="E24" s="18">
        <f>('1Q 2022 Sales by Region Report'!E26)/1000000</f>
        <v>74.585764739999988</v>
      </c>
      <c r="F24" s="18">
        <f>('1Q 2022 Sales by Region Report'!F26)/1000000</f>
        <v>7.8359547000000003</v>
      </c>
      <c r="G24" s="18">
        <f>('1Q 2022 Sales by Region Report'!G26)/1000000</f>
        <v>0</v>
      </c>
      <c r="H24" s="19">
        <f>('1Q 2022 Sales by Region Report'!H26)/1000000</f>
        <v>118.51896570999999</v>
      </c>
      <c r="I24" s="2">
        <v>0</v>
      </c>
      <c r="J24" s="9">
        <f>('1Q 2022 Sales by Region Report'!J26)/1000000</f>
        <v>0</v>
      </c>
      <c r="K24" s="9">
        <f>('1Q 2022 Sales by Region Report'!K26)/1000000</f>
        <v>35.989897849999998</v>
      </c>
      <c r="L24" s="9">
        <f>('1Q 2022 Sales by Region Report'!L26)/1000000</f>
        <v>0</v>
      </c>
      <c r="M24" s="9">
        <f>('1Q 2022 Sales by Region Report'!M26)/1000000</f>
        <v>70.429121170000002</v>
      </c>
      <c r="N24" s="9">
        <f>('1Q 2022 Sales by Region Report'!N26)/1000000</f>
        <v>5.3388774699999999</v>
      </c>
      <c r="O24" s="9">
        <f>('1Q 2022 Sales by Region Report'!O26)/1000000</f>
        <v>0</v>
      </c>
      <c r="P24" s="19">
        <f>('1Q 2022 Sales by Region Report'!P26)/1000000</f>
        <v>111.75789648999999</v>
      </c>
    </row>
    <row r="25" spans="1:16" x14ac:dyDescent="0.25">
      <c r="A25" s="8" t="s">
        <v>18</v>
      </c>
      <c r="B25" s="18">
        <f>('1Q 2022 Sales by Region Report'!B27)/1000000</f>
        <v>0</v>
      </c>
      <c r="C25" s="18">
        <f>('1Q 2022 Sales by Region Report'!C27)/1000000</f>
        <v>22.248117620000002</v>
      </c>
      <c r="D25" s="18">
        <f>('1Q 2022 Sales by Region Report'!D27)/1000000</f>
        <v>0</v>
      </c>
      <c r="E25" s="18">
        <f>('1Q 2022 Sales by Region Report'!E27)/1000000</f>
        <v>0</v>
      </c>
      <c r="F25" s="18">
        <f>('1Q 2022 Sales by Region Report'!F27)/1000000</f>
        <v>6.7748710000000004E-2</v>
      </c>
      <c r="G25" s="18">
        <f>('1Q 2022 Sales by Region Report'!G27)/1000000</f>
        <v>0</v>
      </c>
      <c r="H25" s="19">
        <f>('1Q 2022 Sales by Region Report'!H27)/1000000</f>
        <v>22.315866329999999</v>
      </c>
      <c r="I25" s="2">
        <v>0</v>
      </c>
      <c r="J25" s="9">
        <f>('1Q 2022 Sales by Region Report'!J27)/1000000</f>
        <v>0</v>
      </c>
      <c r="K25" s="9">
        <f>('1Q 2022 Sales by Region Report'!K27)/1000000</f>
        <v>14.99787927</v>
      </c>
      <c r="L25" s="9">
        <f>('1Q 2022 Sales by Region Report'!L27)/1000000</f>
        <v>0</v>
      </c>
      <c r="M25" s="9">
        <f>('1Q 2022 Sales by Region Report'!M27)/1000000</f>
        <v>0</v>
      </c>
      <c r="N25" s="9">
        <f>('1Q 2022 Sales by Region Report'!N27)/1000000</f>
        <v>0.50093171000000003</v>
      </c>
      <c r="O25" s="9">
        <f>('1Q 2022 Sales by Region Report'!O27)/1000000</f>
        <v>0</v>
      </c>
      <c r="P25" s="19">
        <f>('1Q 2022 Sales by Region Report'!P27)/1000000</f>
        <v>15.49881098</v>
      </c>
    </row>
    <row r="26" spans="1:16" x14ac:dyDescent="0.25">
      <c r="A26" s="8" t="s">
        <v>19</v>
      </c>
      <c r="B26" s="18">
        <f>('1Q 2022 Sales by Region Report'!B28)/1000000</f>
        <v>7.8415605300000006</v>
      </c>
      <c r="C26" s="18">
        <f>('1Q 2022 Sales by Region Report'!C28)/1000000</f>
        <v>26.089089649999998</v>
      </c>
      <c r="D26" s="18">
        <f>('1Q 2022 Sales by Region Report'!D28)/1000000</f>
        <v>37.83464549</v>
      </c>
      <c r="E26" s="18">
        <f>('1Q 2022 Sales by Region Report'!E28)/1000000</f>
        <v>13.68602349</v>
      </c>
      <c r="F26" s="18">
        <f>('1Q 2022 Sales by Region Report'!F28)/1000000</f>
        <v>7.9235867699999991</v>
      </c>
      <c r="G26" s="18">
        <f>('1Q 2022 Sales by Region Report'!G28)/1000000</f>
        <v>0</v>
      </c>
      <c r="H26" s="19">
        <f>('1Q 2022 Sales by Region Report'!H28)/1000000</f>
        <v>93.374905930000011</v>
      </c>
      <c r="I26" s="2">
        <v>0</v>
      </c>
      <c r="J26" s="9">
        <f>('1Q 2022 Sales by Region Report'!J28)/1000000</f>
        <v>3.3835174100000001</v>
      </c>
      <c r="K26" s="9">
        <f>('1Q 2022 Sales by Region Report'!K28)/1000000</f>
        <v>27.39421024</v>
      </c>
      <c r="L26" s="9">
        <f>('1Q 2022 Sales by Region Report'!L28)/1000000</f>
        <v>42.201574549999997</v>
      </c>
      <c r="M26" s="9">
        <f>('1Q 2022 Sales by Region Report'!M28)/1000000</f>
        <v>9.2561244399999989</v>
      </c>
      <c r="N26" s="9">
        <f>('1Q 2022 Sales by Region Report'!N28)/1000000</f>
        <v>8.2058729400000008</v>
      </c>
      <c r="O26" s="9">
        <f>('1Q 2022 Sales by Region Report'!O28)/1000000</f>
        <v>0</v>
      </c>
      <c r="P26" s="19">
        <f>('1Q 2022 Sales by Region Report'!P28)/1000000</f>
        <v>90.441299579999992</v>
      </c>
    </row>
    <row r="27" spans="1:16" hidden="1" x14ac:dyDescent="0.25">
      <c r="A27" s="8" t="s">
        <v>20</v>
      </c>
      <c r="B27" s="18">
        <f>('1Q 2022 Sales by Region Report'!B29)/1000000</f>
        <v>0.96834337000000004</v>
      </c>
      <c r="C27" s="18">
        <f>('1Q 2022 Sales by Region Report'!C29)/1000000</f>
        <v>2.7559240299999996</v>
      </c>
      <c r="D27" s="18">
        <f>('1Q 2022 Sales by Region Report'!D29)/1000000</f>
        <v>2.3132649999999999</v>
      </c>
      <c r="E27" s="18">
        <f>('1Q 2022 Sales by Region Report'!E29)/1000000</f>
        <v>3.92524271</v>
      </c>
      <c r="F27" s="18">
        <f>('1Q 2022 Sales by Region Report'!F29)/1000000</f>
        <v>2.0209439800000002</v>
      </c>
      <c r="G27" s="18">
        <f>('1Q 2022 Sales by Region Report'!G29)/1000000</f>
        <v>0</v>
      </c>
      <c r="H27" s="19">
        <f>('1Q 2022 Sales by Region Report'!H29)/1000000</f>
        <v>11.983719089999999</v>
      </c>
      <c r="I27" s="2">
        <v>0</v>
      </c>
      <c r="J27" s="9">
        <f>('1Q 2022 Sales by Region Report'!J29)/1000000</f>
        <v>1.00866045</v>
      </c>
      <c r="K27" s="9">
        <f>('1Q 2022 Sales by Region Report'!K29)/1000000</f>
        <v>3.3494620199999998</v>
      </c>
      <c r="L27" s="9">
        <f>('1Q 2022 Sales by Region Report'!L29)/1000000</f>
        <v>3.0048142999999996</v>
      </c>
      <c r="M27" s="9">
        <f>('1Q 2022 Sales by Region Report'!M29)/1000000</f>
        <v>4.4977494900000003</v>
      </c>
      <c r="N27" s="9">
        <f>('1Q 2022 Sales by Region Report'!N29)/1000000</f>
        <v>2.7011951299999999</v>
      </c>
      <c r="O27" s="9">
        <f>('1Q 2022 Sales by Region Report'!O29)/1000000</f>
        <v>0</v>
      </c>
      <c r="P27" s="19">
        <f>('1Q 2022 Sales by Region Report'!P29)/1000000</f>
        <v>14.56188139</v>
      </c>
    </row>
    <row r="28" spans="1:16" s="12" customFormat="1" ht="14" x14ac:dyDescent="0.25">
      <c r="A28" s="11" t="s">
        <v>48</v>
      </c>
      <c r="B28" s="18">
        <f>('1Q 2022 Sales by Region Report'!B30)/1000000</f>
        <v>0.96834336999999915</v>
      </c>
      <c r="C28" s="18">
        <f>('1Q 2022 Sales by Region Report'!C30)/1000000</f>
        <v>10.47476425999999</v>
      </c>
      <c r="D28" s="18">
        <f>('1Q 2022 Sales by Region Report'!D30)/1000000</f>
        <v>2.3160869999999849</v>
      </c>
      <c r="E28" s="18">
        <f>('1Q 2022 Sales by Region Report'!E30)/1000000</f>
        <v>17.353257500000016</v>
      </c>
      <c r="F28" s="18">
        <f>('1Q 2022 Sales by Region Report'!F30)/1000000</f>
        <v>7.5400341500000021</v>
      </c>
      <c r="G28" s="18">
        <f>('1Q 2022 Sales by Region Report'!G30)/1000000</f>
        <v>0</v>
      </c>
      <c r="H28" s="19">
        <f>('1Q 2022 Sales by Region Report'!H30)/1000000</f>
        <v>38.65248627999997</v>
      </c>
      <c r="I28" s="12">
        <v>0</v>
      </c>
      <c r="J28" s="9">
        <f>('1Q 2022 Sales by Region Report'!J30)/1000000</f>
        <v>1.0086604499999992</v>
      </c>
      <c r="K28" s="9">
        <f>('1Q 2022 Sales by Region Report'!K30)/1000000</f>
        <v>10.164664620000005</v>
      </c>
      <c r="L28" s="9">
        <f>('1Q 2022 Sales by Region Report'!L30)/1000000</f>
        <v>3.0076098200000079</v>
      </c>
      <c r="M28" s="9">
        <f>('1Q 2022 Sales by Region Report'!M30)/1000000</f>
        <v>17.791281359999999</v>
      </c>
      <c r="N28" s="9">
        <f>('1Q 2022 Sales by Region Report'!N30)/1000000</f>
        <v>6.6395429499999956</v>
      </c>
      <c r="O28" s="9">
        <f>('1Q 2022 Sales by Region Report'!O30)/1000000</f>
        <v>0</v>
      </c>
      <c r="P28" s="19">
        <f>('1Q 2022 Sales by Region Report'!P30)/1000000</f>
        <v>38.611759199999987</v>
      </c>
    </row>
    <row r="29" spans="1:16" s="12" customFormat="1" x14ac:dyDescent="0.25">
      <c r="A29" s="13" t="s">
        <v>36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9">
        <v>0</v>
      </c>
      <c r="I29" s="12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9">
        <v>0</v>
      </c>
    </row>
    <row r="30" spans="1:16" x14ac:dyDescent="0.25">
      <c r="A30" s="8" t="s">
        <v>21</v>
      </c>
      <c r="B30" s="18">
        <f>('1Q 2022 Sales by Region Report'!B32)/1000000</f>
        <v>2.68424438</v>
      </c>
      <c r="C30" s="18">
        <f>('1Q 2022 Sales by Region Report'!C32)/1000000</f>
        <v>50.095058200000004</v>
      </c>
      <c r="D30" s="18">
        <f>('1Q 2022 Sales by Region Report'!D32)/1000000</f>
        <v>47.926355000000001</v>
      </c>
      <c r="E30" s="18">
        <f>('1Q 2022 Sales by Region Report'!E32)/1000000</f>
        <v>15.140073259999999</v>
      </c>
      <c r="F30" s="18">
        <f>('1Q 2022 Sales by Region Report'!F32)/1000000</f>
        <v>13.78318932</v>
      </c>
      <c r="G30" s="18">
        <f>('1Q 2022 Sales by Region Report'!G32)/1000000</f>
        <v>0</v>
      </c>
      <c r="H30" s="19">
        <f>('1Q 2022 Sales by Region Report'!H32)/1000000</f>
        <v>129.62892016000001</v>
      </c>
      <c r="I30" s="2">
        <v>0</v>
      </c>
      <c r="J30" s="9">
        <f>('1Q 2022 Sales by Region Report'!J32)/1000000</f>
        <v>4.5163572800000003</v>
      </c>
      <c r="K30" s="9">
        <f>('1Q 2022 Sales by Region Report'!K32)/1000000</f>
        <v>37.44404815</v>
      </c>
      <c r="L30" s="9">
        <f>('1Q 2022 Sales by Region Report'!L32)/1000000</f>
        <v>38.343984770000006</v>
      </c>
      <c r="M30" s="9">
        <f>('1Q 2022 Sales by Region Report'!M32)/1000000</f>
        <v>17.958181489999998</v>
      </c>
      <c r="N30" s="9">
        <f>('1Q 2022 Sales by Region Report'!N32)/1000000</f>
        <v>8.6986746300000011</v>
      </c>
      <c r="O30" s="9">
        <f>('1Q 2022 Sales by Region Report'!O32)/1000000</f>
        <v>0</v>
      </c>
      <c r="P30" s="19">
        <f>('1Q 2022 Sales by Region Report'!P32)/1000000</f>
        <v>106.96124631999999</v>
      </c>
    </row>
    <row r="31" spans="1:16" x14ac:dyDescent="0.25">
      <c r="A31" s="8" t="s">
        <v>22</v>
      </c>
      <c r="B31" s="20">
        <f>('1Q 2022 Sales by Region Report'!B33)/1000000</f>
        <v>9.42673278</v>
      </c>
      <c r="C31" s="20">
        <f>('1Q 2022 Sales by Region Report'!C33)/1000000</f>
        <v>12.68606623</v>
      </c>
      <c r="D31" s="20">
        <f>('1Q 2022 Sales by Region Report'!D33)/1000000</f>
        <v>18.557486770000001</v>
      </c>
      <c r="E31" s="20">
        <f>('1Q 2022 Sales by Region Report'!E33)/1000000</f>
        <v>14.44277205</v>
      </c>
      <c r="F31" s="20">
        <f>('1Q 2022 Sales by Region Report'!F33)/1000000</f>
        <v>19.29500706</v>
      </c>
      <c r="G31" s="18">
        <f>('1Q 2022 Sales by Region Report'!G33)/1000000</f>
        <v>0.51730200000000004</v>
      </c>
      <c r="H31" s="21">
        <f>('1Q 2022 Sales by Region Report'!H33)/1000000</f>
        <v>74.925366890000006</v>
      </c>
      <c r="I31" s="2">
        <v>0</v>
      </c>
      <c r="J31" s="14">
        <f>('1Q 2022 Sales by Region Report'!J33)/1000000</f>
        <v>1.97418421</v>
      </c>
      <c r="K31" s="14">
        <f>('1Q 2022 Sales by Region Report'!K33)/1000000</f>
        <v>4.9822396700000002</v>
      </c>
      <c r="L31" s="14">
        <f>('1Q 2022 Sales by Region Report'!L33)/1000000</f>
        <v>11.86226636</v>
      </c>
      <c r="M31" s="14">
        <f>('1Q 2022 Sales by Region Report'!M33)/1000000</f>
        <v>10.297780660000001</v>
      </c>
      <c r="N31" s="14">
        <f>('1Q 2022 Sales by Region Report'!N33)/1000000</f>
        <v>13.941035960000001</v>
      </c>
      <c r="O31" s="14">
        <f>('1Q 2022 Sales by Region Report'!O33)/1000000</f>
        <v>0</v>
      </c>
      <c r="P31" s="21">
        <f>('1Q 2022 Sales by Region Report'!P33)/1000000</f>
        <v>43.057506859999997</v>
      </c>
    </row>
    <row r="32" spans="1:16" x14ac:dyDescent="0.25">
      <c r="A32" s="11" t="s">
        <v>23</v>
      </c>
      <c r="B32" s="18">
        <f>('1Q 2022 Sales by Region Report'!B34)/1000000</f>
        <v>31.08380747</v>
      </c>
      <c r="C32" s="18">
        <f>('1Q 2022 Sales by Region Report'!C34)/1000000</f>
        <v>0</v>
      </c>
      <c r="D32" s="18">
        <f>('1Q 2022 Sales by Region Report'!D34)/1000000</f>
        <v>0</v>
      </c>
      <c r="E32" s="18">
        <f>('1Q 2022 Sales by Region Report'!E34)/1000000</f>
        <v>8.8537476500000007</v>
      </c>
      <c r="F32" s="18">
        <f>('1Q 2022 Sales by Region Report'!F34)/1000000</f>
        <v>0.18783080999999999</v>
      </c>
      <c r="G32" s="18">
        <f>('1Q 2022 Sales by Region Report'!G34)/1000000</f>
        <v>0</v>
      </c>
      <c r="H32" s="19">
        <f>('1Q 2022 Sales by Region Report'!H34)/1000000</f>
        <v>40.12538593</v>
      </c>
      <c r="I32" s="2">
        <v>0</v>
      </c>
      <c r="J32" s="9">
        <f>('1Q 2022 Sales by Region Report'!J34)/1000000</f>
        <v>30.721166579999998</v>
      </c>
      <c r="K32" s="9">
        <f>('1Q 2022 Sales by Region Report'!K34)/1000000</f>
        <v>0</v>
      </c>
      <c r="L32" s="9">
        <f>('1Q 2022 Sales by Region Report'!L34)/1000000</f>
        <v>0</v>
      </c>
      <c r="M32" s="9">
        <f>('1Q 2022 Sales by Region Report'!M34)/1000000</f>
        <v>7.5986153200000004</v>
      </c>
      <c r="N32" s="9">
        <f>('1Q 2022 Sales by Region Report'!N34)/1000000</f>
        <v>0.13731972000000001</v>
      </c>
      <c r="O32" s="9">
        <f>('1Q 2022 Sales by Region Report'!O34)/1000000</f>
        <v>0</v>
      </c>
      <c r="P32" s="19">
        <f>('1Q 2022 Sales by Region Report'!P34)/1000000</f>
        <v>38.457101619999996</v>
      </c>
    </row>
    <row r="33" spans="1:16" x14ac:dyDescent="0.25">
      <c r="A33" s="8" t="s">
        <v>24</v>
      </c>
      <c r="B33" s="20">
        <f>('1Q 2022 Sales by Region Report'!B35)/1000000</f>
        <v>1.4024691499999999</v>
      </c>
      <c r="C33" s="20">
        <f>('1Q 2022 Sales by Region Report'!C35)/1000000</f>
        <v>11.258218150000001</v>
      </c>
      <c r="D33" s="18">
        <f>('1Q 2022 Sales by Region Report'!D35)/1000000</f>
        <v>5.8601E-2</v>
      </c>
      <c r="E33" s="20">
        <f>('1Q 2022 Sales by Region Report'!E35)/1000000</f>
        <v>17.800870499999998</v>
      </c>
      <c r="F33" s="20">
        <f>('1Q 2022 Sales by Region Report'!F35)/1000000</f>
        <v>7.6587889900000006</v>
      </c>
      <c r="G33" s="20">
        <f>('1Q 2022 Sales by Region Report'!G35)/1000000</f>
        <v>0</v>
      </c>
      <c r="H33" s="19">
        <f>('1Q 2022 Sales by Region Report'!H35)/1000000</f>
        <v>38.178947790000002</v>
      </c>
      <c r="I33" s="2">
        <v>0</v>
      </c>
      <c r="J33" s="14">
        <f>('1Q 2022 Sales by Region Report'!J35)/1000000</f>
        <v>1.4813481499999999</v>
      </c>
      <c r="K33" s="14">
        <f>('1Q 2022 Sales by Region Report'!K35)/1000000</f>
        <v>2.67789448</v>
      </c>
      <c r="L33" s="14">
        <f>('1Q 2022 Sales by Region Report'!L35)/1000000</f>
        <v>3.3185230000000003E-2</v>
      </c>
      <c r="M33" s="14">
        <f>('1Q 2022 Sales by Region Report'!M35)/1000000</f>
        <v>14.47595847</v>
      </c>
      <c r="N33" s="14">
        <f>('1Q 2022 Sales by Region Report'!N35)/1000000</f>
        <v>5.9556829100000002</v>
      </c>
      <c r="O33" s="14">
        <f>('1Q 2022 Sales by Region Report'!O35)/1000000</f>
        <v>0</v>
      </c>
      <c r="P33" s="19">
        <f>('1Q 2022 Sales by Region Report'!P35)/1000000</f>
        <v>24.624069239999997</v>
      </c>
    </row>
    <row r="34" spans="1:16" hidden="1" x14ac:dyDescent="0.25">
      <c r="A34" s="11" t="s">
        <v>25</v>
      </c>
      <c r="B34" s="18">
        <f>('1Q 2022 Sales by Region Report'!B36)/1000000</f>
        <v>11.779363369999999</v>
      </c>
      <c r="C34" s="18">
        <f>('1Q 2022 Sales by Region Report'!C36)/1000000</f>
        <v>0.38869546999999999</v>
      </c>
      <c r="D34" s="18">
        <f>('1Q 2022 Sales by Region Report'!D36)/1000000</f>
        <v>0</v>
      </c>
      <c r="E34" s="18">
        <f>('1Q 2022 Sales by Region Report'!E36)/1000000</f>
        <v>1.0776892600000001</v>
      </c>
      <c r="F34" s="18">
        <f>('1Q 2022 Sales by Region Report'!F36)/1000000</f>
        <v>1.1255879999999999E-2</v>
      </c>
      <c r="G34" s="18">
        <f>('1Q 2022 Sales by Region Report'!G36)/1000000</f>
        <v>0.216504</v>
      </c>
      <c r="H34" s="19">
        <f>('1Q 2022 Sales by Region Report'!H36)/1000000</f>
        <v>13.473507980000001</v>
      </c>
      <c r="I34" s="2">
        <v>0</v>
      </c>
      <c r="J34" s="9">
        <f>('1Q 2022 Sales by Region Report'!J36)/1000000</f>
        <v>16.146263099999999</v>
      </c>
      <c r="K34" s="9">
        <f>('1Q 2022 Sales by Region Report'!K36)/1000000</f>
        <v>0.50361526000000001</v>
      </c>
      <c r="L34" s="9">
        <f>('1Q 2022 Sales by Region Report'!L36)/1000000</f>
        <v>0</v>
      </c>
      <c r="M34" s="9">
        <f>('1Q 2022 Sales by Region Report'!M36)/1000000</f>
        <v>1.3500344399999999</v>
      </c>
      <c r="N34" s="9">
        <f>('1Q 2022 Sales by Region Report'!N36)/1000000</f>
        <v>2.745512E-2</v>
      </c>
      <c r="O34" s="9">
        <f>('1Q 2022 Sales by Region Report'!O36)/1000000</f>
        <v>0</v>
      </c>
      <c r="P34" s="19">
        <f>('1Q 2022 Sales by Region Report'!P36)/1000000</f>
        <v>18.027367920000003</v>
      </c>
    </row>
    <row r="35" spans="1:16" ht="14" x14ac:dyDescent="0.25">
      <c r="A35" s="8" t="s">
        <v>47</v>
      </c>
      <c r="B35" s="18">
        <f>('1Q 2022 Sales by Region Report'!B37)/1000000</f>
        <v>7.4505805969238278E-15</v>
      </c>
      <c r="C35" s="18">
        <f>('1Q 2022 Sales by Region Report'!C37)/1000000</f>
        <v>6.7512826799999921</v>
      </c>
      <c r="D35" s="18">
        <f>('1Q 2022 Sales by Region Report'!D37)/1000000</f>
        <v>7.4505805969238278E-15</v>
      </c>
      <c r="E35" s="18">
        <f>('1Q 2022 Sales by Region Report'!E37)/1000000</f>
        <v>1.4739624200000019</v>
      </c>
      <c r="F35" s="18">
        <f>('1Q 2022 Sales by Region Report'!F37)/1000000</f>
        <v>1.7280489799999967</v>
      </c>
      <c r="G35" s="18">
        <f>('1Q 2022 Sales by Region Report'!G37)/1000000</f>
        <v>0.216504</v>
      </c>
      <c r="H35" s="19">
        <f>('1Q 2022 Sales by Region Report'!H37)/1000000</f>
        <v>22.337856919999957</v>
      </c>
      <c r="I35" s="2">
        <v>0</v>
      </c>
      <c r="J35" s="9">
        <f>('1Q 2022 Sales by Region Report'!J37)/1000000</f>
        <v>16.294454590000004</v>
      </c>
      <c r="K35" s="9">
        <f>('1Q 2022 Sales by Region Report'!K37)/1000000</f>
        <v>3.0939764700000061</v>
      </c>
      <c r="L35" s="9">
        <f>('1Q 2022 Sales by Region Report'!L37)/1000000</f>
        <v>0</v>
      </c>
      <c r="M35" s="9">
        <f>('1Q 2022 Sales by Region Report'!M37)/1000000</f>
        <v>1.867558740000002</v>
      </c>
      <c r="N35" s="9">
        <f>('1Q 2022 Sales by Region Report'!N37)/1000000</f>
        <v>1.3281171499999984</v>
      </c>
      <c r="O35" s="9">
        <f>('1Q 2022 Sales by Region Report'!O37)/1000000</f>
        <v>0</v>
      </c>
      <c r="P35" s="19">
        <f>('1Q 2022 Sales by Region Report'!P37)/1000000</f>
        <v>22.584106949999988</v>
      </c>
    </row>
    <row r="36" spans="1:16" x14ac:dyDescent="0.25">
      <c r="A36" s="13" t="s">
        <v>37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9">
        <v>0</v>
      </c>
      <c r="I36" s="2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9">
        <v>0</v>
      </c>
    </row>
    <row r="37" spans="1:16" x14ac:dyDescent="0.25">
      <c r="A37" s="8" t="s">
        <v>26</v>
      </c>
      <c r="B37" s="18">
        <f>('1Q 2022 Sales by Region Report'!B39)/1000000</f>
        <v>0</v>
      </c>
      <c r="C37" s="18">
        <f>('1Q 2022 Sales by Region Report'!C39)/1000000</f>
        <v>12.23108176</v>
      </c>
      <c r="D37" s="18">
        <f>('1Q 2022 Sales by Region Report'!D39)/1000000</f>
        <v>9.6646640000000001</v>
      </c>
      <c r="E37" s="18">
        <f>('1Q 2022 Sales by Region Report'!E39)/1000000</f>
        <v>16.050399389999999</v>
      </c>
      <c r="F37" s="18">
        <f>('1Q 2022 Sales by Region Report'!F39)/1000000</f>
        <v>22.383601800000001</v>
      </c>
      <c r="G37" s="18">
        <f>('1Q 2022 Sales by Region Report'!G39)/1000000</f>
        <v>0</v>
      </c>
      <c r="H37" s="19">
        <f>('1Q 2022 Sales by Region Report'!H39)/1000000</f>
        <v>60.329746950000001</v>
      </c>
      <c r="I37" s="2">
        <v>0</v>
      </c>
      <c r="J37" s="9">
        <f>('1Q 2022 Sales by Region Report'!J39)/1000000</f>
        <v>0</v>
      </c>
      <c r="K37" s="9">
        <f>('1Q 2022 Sales by Region Report'!K39)/1000000</f>
        <v>11.543499089999999</v>
      </c>
      <c r="L37" s="9">
        <f>('1Q 2022 Sales by Region Report'!L39)/1000000</f>
        <v>7.7896921199999998</v>
      </c>
      <c r="M37" s="9">
        <f>('1Q 2022 Sales by Region Report'!M39)/1000000</f>
        <v>15.989439750000001</v>
      </c>
      <c r="N37" s="9">
        <f>('1Q 2022 Sales by Region Report'!N39)/1000000</f>
        <v>20.898469079999998</v>
      </c>
      <c r="O37" s="9">
        <f>('1Q 2022 Sales by Region Report'!O39)/1000000</f>
        <v>0</v>
      </c>
      <c r="P37" s="19">
        <f>('1Q 2022 Sales by Region Report'!P39)/1000000</f>
        <v>56.221100039999996</v>
      </c>
    </row>
    <row r="38" spans="1:16" x14ac:dyDescent="0.25">
      <c r="A38" s="8" t="s">
        <v>27</v>
      </c>
      <c r="B38" s="18">
        <f>('1Q 2022 Sales by Region Report'!B40)/1000000</f>
        <v>0.78532518000000007</v>
      </c>
      <c r="C38" s="18">
        <f>('1Q 2022 Sales by Region Report'!C40)/1000000</f>
        <v>11.64865049</v>
      </c>
      <c r="D38" s="18">
        <f>('1Q 2022 Sales by Region Report'!D40)/1000000</f>
        <v>14.575234999999999</v>
      </c>
      <c r="E38" s="18">
        <f>('1Q 2022 Sales by Region Report'!E40)/1000000</f>
        <v>9.9420456300000009</v>
      </c>
      <c r="F38" s="18">
        <f>('1Q 2022 Sales by Region Report'!F40)/1000000</f>
        <v>3.8151915699999996</v>
      </c>
      <c r="G38" s="18">
        <f>('1Q 2022 Sales by Region Report'!G40)/1000000</f>
        <v>0</v>
      </c>
      <c r="H38" s="19">
        <f>('1Q 2022 Sales by Region Report'!H40)/1000000</f>
        <v>40.76644787</v>
      </c>
      <c r="I38" s="2">
        <v>0</v>
      </c>
      <c r="J38" s="9">
        <f>('1Q 2022 Sales by Region Report'!J40)/1000000</f>
        <v>0.87600827000000003</v>
      </c>
      <c r="K38" s="9">
        <f>('1Q 2022 Sales by Region Report'!K40)/1000000</f>
        <v>11.02776955</v>
      </c>
      <c r="L38" s="9">
        <f>('1Q 2022 Sales by Region Report'!L40)/1000000</f>
        <v>11.03695888</v>
      </c>
      <c r="M38" s="9">
        <f>('1Q 2022 Sales by Region Report'!M40)/1000000</f>
        <v>11.09346648</v>
      </c>
      <c r="N38" s="9">
        <f>('1Q 2022 Sales by Region Report'!N40)/1000000</f>
        <v>3.6582597400000001</v>
      </c>
      <c r="O38" s="9">
        <f>('1Q 2022 Sales by Region Report'!O40)/1000000</f>
        <v>0</v>
      </c>
      <c r="P38" s="19">
        <f>('1Q 2022 Sales by Region Report'!P40)/1000000</f>
        <v>37.692462920000004</v>
      </c>
    </row>
    <row r="39" spans="1:16" x14ac:dyDescent="0.25">
      <c r="A39" s="8" t="s">
        <v>28</v>
      </c>
      <c r="B39" s="18">
        <f>('1Q 2022 Sales by Region Report'!B41)/1000000</f>
        <v>0</v>
      </c>
      <c r="C39" s="18">
        <f>('1Q 2022 Sales by Region Report'!C41)/1000000</f>
        <v>0.67452366000000008</v>
      </c>
      <c r="D39" s="18">
        <f>('1Q 2022 Sales by Region Report'!D41)/1000000</f>
        <v>6.3516899999999996</v>
      </c>
      <c r="E39" s="18">
        <f>('1Q 2022 Sales by Region Report'!E41)/1000000</f>
        <v>6.10972399</v>
      </c>
      <c r="F39" s="18">
        <f>('1Q 2022 Sales by Region Report'!F41)/1000000</f>
        <v>18.300319420000001</v>
      </c>
      <c r="G39" s="18">
        <f>('1Q 2022 Sales by Region Report'!G41)/1000000</f>
        <v>0</v>
      </c>
      <c r="H39" s="19">
        <f>('1Q 2022 Sales by Region Report'!H41)/1000000</f>
        <v>31.43625707</v>
      </c>
      <c r="I39" s="2">
        <v>0</v>
      </c>
      <c r="J39" s="9">
        <f>('1Q 2022 Sales by Region Report'!J41)/1000000</f>
        <v>0</v>
      </c>
      <c r="K39" s="9">
        <f>('1Q 2022 Sales by Region Report'!K41)/1000000</f>
        <v>0.53379611999999999</v>
      </c>
      <c r="L39" s="9">
        <f>('1Q 2022 Sales by Region Report'!L41)/1000000</f>
        <v>3.7768084800000001</v>
      </c>
      <c r="M39" s="9">
        <f>('1Q 2022 Sales by Region Report'!M41)/1000000</f>
        <v>5.7423367300000008</v>
      </c>
      <c r="N39" s="9">
        <f>('1Q 2022 Sales by Region Report'!N41)/1000000</f>
        <v>15.86473483</v>
      </c>
      <c r="O39" s="9">
        <f>('1Q 2022 Sales by Region Report'!O41)/1000000</f>
        <v>0</v>
      </c>
      <c r="P39" s="19">
        <f>('1Q 2022 Sales by Region Report'!P41)/1000000</f>
        <v>25.917676159999999</v>
      </c>
    </row>
    <row r="40" spans="1:16" hidden="1" x14ac:dyDescent="0.25">
      <c r="A40" s="11" t="s">
        <v>29</v>
      </c>
      <c r="B40" s="18">
        <f>('1Q 2022 Sales by Region Report'!B42)/1000000</f>
        <v>6.2178959999999998E-2</v>
      </c>
      <c r="C40" s="18">
        <f>('1Q 2022 Sales by Region Report'!C42)/1000000</f>
        <v>4.2058379400000003</v>
      </c>
      <c r="D40" s="18">
        <f>('1Q 2022 Sales by Region Report'!D42)/1000000</f>
        <v>0</v>
      </c>
      <c r="E40" s="18">
        <f>('1Q 2022 Sales by Region Report'!E42)/1000000</f>
        <v>12.447803800000001</v>
      </c>
      <c r="F40" s="18">
        <f>('1Q 2022 Sales by Region Report'!F42)/1000000</f>
        <v>2.5710597700000002</v>
      </c>
      <c r="G40" s="18">
        <f>('1Q 2022 Sales by Region Report'!G42)/1000000</f>
        <v>0</v>
      </c>
      <c r="H40" s="19">
        <f>('1Q 2022 Sales by Region Report'!H42)/1000000</f>
        <v>19.28688047</v>
      </c>
      <c r="I40" s="2">
        <v>0</v>
      </c>
      <c r="J40" s="9">
        <f>('1Q 2022 Sales by Region Report'!J42)/1000000</f>
        <v>0.30552318000000001</v>
      </c>
      <c r="K40" s="9">
        <f>('1Q 2022 Sales by Region Report'!K42)/1000000</f>
        <v>4.8852694999999997</v>
      </c>
      <c r="L40" s="9">
        <f>('1Q 2022 Sales by Region Report'!L42)/1000000</f>
        <v>0</v>
      </c>
      <c r="M40" s="9">
        <f>('1Q 2022 Sales by Region Report'!M42)/1000000</f>
        <v>13.106596300000001</v>
      </c>
      <c r="N40" s="9">
        <f>('1Q 2022 Sales by Region Report'!N42)/1000000</f>
        <v>1.5836937799999999</v>
      </c>
      <c r="O40" s="9">
        <f>('1Q 2022 Sales by Region Report'!O42)/1000000</f>
        <v>0</v>
      </c>
      <c r="P40" s="19">
        <f>('1Q 2022 Sales by Region Report'!P42)/1000000</f>
        <v>19.881082760000002</v>
      </c>
    </row>
    <row r="41" spans="1:16" s="12" customFormat="1" ht="14" x14ac:dyDescent="0.25">
      <c r="A41" s="11" t="s">
        <v>46</v>
      </c>
      <c r="B41" s="18">
        <f>('1Q 2022 Sales by Region Report'!B43)/1000000</f>
        <v>2.4720046599999996</v>
      </c>
      <c r="C41" s="18">
        <f>('1Q 2022 Sales by Region Report'!C43)/1000000</f>
        <v>9.688388220000002</v>
      </c>
      <c r="D41" s="18">
        <f>('1Q 2022 Sales by Region Report'!D43)/1000000</f>
        <v>0</v>
      </c>
      <c r="E41" s="18">
        <f>('1Q 2022 Sales by Region Report'!E43)/1000000</f>
        <v>40.09153486999999</v>
      </c>
      <c r="F41" s="18">
        <f>('1Q 2022 Sales by Region Report'!F43)/1000000</f>
        <v>16.533752689999989</v>
      </c>
      <c r="G41" s="18">
        <f>('1Q 2022 Sales by Region Report'!G43)/1000000</f>
        <v>0</v>
      </c>
      <c r="H41" s="19">
        <f>('1Q 2022 Sales by Region Report'!H43)/1000000</f>
        <v>68.785680440000021</v>
      </c>
      <c r="I41" s="12">
        <v>0</v>
      </c>
      <c r="J41" s="9">
        <f>('1Q 2022 Sales by Region Report'!J43)/1000000</f>
        <v>-0.5448888300000001</v>
      </c>
      <c r="K41" s="9">
        <f>('1Q 2022 Sales by Region Report'!K43)/1000000</f>
        <v>11.132244830000001</v>
      </c>
      <c r="L41" s="9">
        <f>('1Q 2022 Sales by Region Report'!L43)/1000000</f>
        <v>0</v>
      </c>
      <c r="M41" s="9">
        <f>('1Q 2022 Sales by Region Report'!M43)/1000000</f>
        <v>38.33506071</v>
      </c>
      <c r="N41" s="9">
        <f>('1Q 2022 Sales by Region Report'!N43)/1000000</f>
        <v>12.071497719999998</v>
      </c>
      <c r="O41" s="9">
        <f>('1Q 2022 Sales by Region Report'!O43)/1000000</f>
        <v>0</v>
      </c>
      <c r="P41" s="19">
        <f>('1Q 2022 Sales by Region Report'!P43)/1000000</f>
        <v>60.993914430000004</v>
      </c>
    </row>
    <row r="42" spans="1:16" s="12" customFormat="1" x14ac:dyDescent="0.25">
      <c r="A42" s="13" t="s">
        <v>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9">
        <v>0</v>
      </c>
      <c r="I42" s="12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9">
        <v>0</v>
      </c>
    </row>
    <row r="43" spans="1:16" x14ac:dyDescent="0.25">
      <c r="A43" s="8" t="s">
        <v>30</v>
      </c>
      <c r="B43" s="18">
        <f>('1Q 2022 Sales by Region Report'!B45)/1000000</f>
        <v>0.33198746999999995</v>
      </c>
      <c r="C43" s="18">
        <f>('1Q 2022 Sales by Region Report'!C45)/1000000</f>
        <v>4.2198135199999998</v>
      </c>
      <c r="D43" s="18">
        <f>('1Q 2022 Sales by Region Report'!D45)/1000000</f>
        <v>16.432137999999998</v>
      </c>
      <c r="E43" s="18">
        <f>('1Q 2022 Sales by Region Report'!E45)/1000000</f>
        <v>2.4235294000000001</v>
      </c>
      <c r="F43" s="18">
        <f>('1Q 2022 Sales by Region Report'!F45)/1000000</f>
        <v>0.88055139000000004</v>
      </c>
      <c r="G43" s="18">
        <f>('1Q 2022 Sales by Region Report'!G45)/1000000</f>
        <v>0</v>
      </c>
      <c r="H43" s="19">
        <f>('1Q 2022 Sales by Region Report'!H45)/1000000</f>
        <v>24.288019780000003</v>
      </c>
      <c r="I43" s="2">
        <v>0</v>
      </c>
      <c r="J43" s="9">
        <f>('1Q 2022 Sales by Region Report'!J45)/1000000</f>
        <v>0.32873534999999998</v>
      </c>
      <c r="K43" s="9">
        <f>('1Q 2022 Sales by Region Report'!K45)/1000000</f>
        <v>5.0212845499999998</v>
      </c>
      <c r="L43" s="9">
        <f>('1Q 2022 Sales by Region Report'!L45)/1000000</f>
        <v>23.308078699999999</v>
      </c>
      <c r="M43" s="9">
        <f>('1Q 2022 Sales by Region Report'!M45)/1000000</f>
        <v>3.0061787200000003</v>
      </c>
      <c r="N43" s="9">
        <f>('1Q 2022 Sales by Region Report'!N45)/1000000</f>
        <v>0.64454827999999997</v>
      </c>
      <c r="O43" s="9">
        <f>('1Q 2022 Sales by Region Report'!O45)/1000000</f>
        <v>0</v>
      </c>
      <c r="P43" s="19">
        <f>('1Q 2022 Sales by Region Report'!P45)/1000000</f>
        <v>32.308825599999999</v>
      </c>
    </row>
    <row r="44" spans="1:16" x14ac:dyDescent="0.25">
      <c r="A44" s="8" t="s">
        <v>31</v>
      </c>
      <c r="B44" s="18">
        <f>('1Q 2022 Sales by Region Report'!B46)/1000000</f>
        <v>1.2699518999999999</v>
      </c>
      <c r="C44" s="18">
        <f>('1Q 2022 Sales by Region Report'!C46)/1000000</f>
        <v>16.072973579999999</v>
      </c>
      <c r="D44" s="18">
        <f>('1Q 2022 Sales by Region Report'!D46)/1000000</f>
        <v>8.6020040000000009</v>
      </c>
      <c r="E44" s="18">
        <f>('1Q 2022 Sales by Region Report'!E46)/1000000</f>
        <v>3.1849125599999999</v>
      </c>
      <c r="F44" s="18">
        <f>('1Q 2022 Sales by Region Report'!F46)/1000000</f>
        <v>1.2512693300000002</v>
      </c>
      <c r="G44" s="18">
        <f>('1Q 2022 Sales by Region Report'!G46)/1000000</f>
        <v>0</v>
      </c>
      <c r="H44" s="19">
        <f>('1Q 2022 Sales by Region Report'!H46)/1000000</f>
        <v>30.381111369999999</v>
      </c>
      <c r="I44" s="2">
        <v>0</v>
      </c>
      <c r="J44" s="9">
        <f>('1Q 2022 Sales by Region Report'!J46)/1000000</f>
        <v>2.0394203700000002</v>
      </c>
      <c r="K44" s="9">
        <f>('1Q 2022 Sales by Region Report'!K46)/1000000</f>
        <v>17.412811250000001</v>
      </c>
      <c r="L44" s="9">
        <f>('1Q 2022 Sales by Region Report'!L46)/1000000</f>
        <v>7.78826149</v>
      </c>
      <c r="M44" s="9">
        <f>('1Q 2022 Sales by Region Report'!M46)/1000000</f>
        <v>2.6654221699999998</v>
      </c>
      <c r="N44" s="9">
        <f>('1Q 2022 Sales by Region Report'!N46)/1000000</f>
        <v>0.86688171999999997</v>
      </c>
      <c r="O44" s="9">
        <f>('1Q 2022 Sales by Region Report'!O46)/1000000</f>
        <v>0</v>
      </c>
      <c r="P44" s="19">
        <f>('1Q 2022 Sales by Region Report'!P46)/1000000</f>
        <v>30.772797000000001</v>
      </c>
    </row>
    <row r="45" spans="1:16" hidden="1" x14ac:dyDescent="0.25">
      <c r="A45" s="8" t="s">
        <v>33</v>
      </c>
      <c r="B45" s="18">
        <f>('1Q 2022 Sales by Region Report'!B47)/1000000</f>
        <v>-0.44470703</v>
      </c>
      <c r="C45" s="18">
        <f>('1Q 2022 Sales by Region Report'!C47)/1000000</f>
        <v>3.7902699100000001</v>
      </c>
      <c r="D45" s="18">
        <f>('1Q 2022 Sales by Region Report'!D47)/1000000</f>
        <v>0.84541299999999997</v>
      </c>
      <c r="E45" s="18">
        <f>('1Q 2022 Sales by Region Report'!E47)/1000000</f>
        <v>12.038848720000001</v>
      </c>
      <c r="F45" s="18">
        <f>('1Q 2022 Sales by Region Report'!F47)/1000000</f>
        <v>0.82967515000000003</v>
      </c>
      <c r="G45" s="18">
        <f>('1Q 2022 Sales by Region Report'!G47)/1000000</f>
        <v>0</v>
      </c>
      <c r="H45" s="19">
        <f>('1Q 2022 Sales by Region Report'!H47)/1000000</f>
        <v>17.059499750000001</v>
      </c>
      <c r="I45" s="2">
        <v>0</v>
      </c>
      <c r="J45" s="9">
        <f>('1Q 2022 Sales by Region Report'!J47)/1000000</f>
        <v>2.9083069999999999E-2</v>
      </c>
      <c r="K45" s="9">
        <f>('1Q 2022 Sales by Region Report'!K47)/1000000</f>
        <v>3.06907262</v>
      </c>
      <c r="L45" s="9">
        <f>('1Q 2022 Sales by Region Report'!L47)/1000000</f>
        <v>0.58451478000000001</v>
      </c>
      <c r="M45" s="9">
        <f>('1Q 2022 Sales by Region Report'!M47)/1000000</f>
        <v>14.02499858</v>
      </c>
      <c r="N45" s="9">
        <f>('1Q 2022 Sales by Region Report'!N47)/1000000</f>
        <v>0.37338293</v>
      </c>
      <c r="O45" s="9">
        <f>('1Q 2022 Sales by Region Report'!O47)/1000000</f>
        <v>0</v>
      </c>
      <c r="P45" s="19">
        <f>('1Q 2022 Sales by Region Report'!P47)/1000000</f>
        <v>18.081051980000002</v>
      </c>
    </row>
    <row r="46" spans="1:16" hidden="1" x14ac:dyDescent="0.25">
      <c r="A46" s="8" t="s">
        <v>32</v>
      </c>
      <c r="B46" s="18">
        <f>('1Q 2022 Sales by Region Report'!B48)/1000000</f>
        <v>0.33550347999999997</v>
      </c>
      <c r="C46" s="18">
        <f>('1Q 2022 Sales by Region Report'!C48)/1000000</f>
        <v>2.9879126899999999</v>
      </c>
      <c r="D46" s="18">
        <f>('1Q 2022 Sales by Region Report'!D48)/1000000</f>
        <v>4.8292869999999999</v>
      </c>
      <c r="E46" s="18">
        <f>('1Q 2022 Sales by Region Report'!E48)/1000000</f>
        <v>2.8804441299999999</v>
      </c>
      <c r="F46" s="18">
        <f>('1Q 2022 Sales by Region Report'!F48)/1000000</f>
        <v>1.8971836899999999</v>
      </c>
      <c r="G46" s="18">
        <f>('1Q 2022 Sales by Region Report'!G48)/1000000</f>
        <v>0</v>
      </c>
      <c r="H46" s="19">
        <f>('1Q 2022 Sales by Region Report'!H48)/1000000</f>
        <v>12.93033099</v>
      </c>
      <c r="I46" s="2">
        <v>0</v>
      </c>
      <c r="J46" s="9">
        <f>('1Q 2022 Sales by Region Report'!J48)/1000000</f>
        <v>0.52046099000000001</v>
      </c>
      <c r="K46" s="9">
        <f>('1Q 2022 Sales by Region Report'!K48)/1000000</f>
        <v>3.99618859</v>
      </c>
      <c r="L46" s="9">
        <f>('1Q 2022 Sales by Region Report'!L48)/1000000</f>
        <v>5.1274081100000002</v>
      </c>
      <c r="M46" s="9">
        <f>('1Q 2022 Sales by Region Report'!M48)/1000000</f>
        <v>5.2853602500000001</v>
      </c>
      <c r="N46" s="9">
        <f>('1Q 2022 Sales by Region Report'!N48)/1000000</f>
        <v>2.2999655899999998</v>
      </c>
      <c r="O46" s="9">
        <f>('1Q 2022 Sales by Region Report'!O48)/1000000</f>
        <v>0</v>
      </c>
      <c r="P46" s="19">
        <f>('1Q 2022 Sales by Region Report'!P48)/1000000</f>
        <v>17.22938353</v>
      </c>
    </row>
    <row r="47" spans="1:16" s="12" customFormat="1" ht="14" x14ac:dyDescent="0.25">
      <c r="A47" s="11" t="s">
        <v>44</v>
      </c>
      <c r="B47" s="18">
        <f>('1Q 2022 Sales by Region Report'!B49)/1000000</f>
        <v>7.3103253400000003</v>
      </c>
      <c r="C47" s="18">
        <f>('1Q 2022 Sales by Region Report'!C49)/1000000</f>
        <v>15.991734829999999</v>
      </c>
      <c r="D47" s="18">
        <f>('1Q 2022 Sales by Region Report'!D49)/1000000</f>
        <v>7.5701534499999994</v>
      </c>
      <c r="E47" s="18">
        <f>('1Q 2022 Sales by Region Report'!E49)/1000000</f>
        <v>43.402204060000003</v>
      </c>
      <c r="F47" s="18">
        <f>('1Q 2022 Sales by Region Report'!F49)/1000000</f>
        <v>7.3817749399999997</v>
      </c>
      <c r="G47" s="18">
        <f>('1Q 2022 Sales by Region Report'!G49)/1000000</f>
        <v>2.5911999997496604E-4</v>
      </c>
      <c r="H47" s="19">
        <f>('1Q 2022 Sales by Region Report'!H49)/1000000</f>
        <v>81.65645173999998</v>
      </c>
      <c r="I47" s="12">
        <v>0</v>
      </c>
      <c r="J47" s="9">
        <f>('1Q 2022 Sales by Region Report'!J49)/1000000</f>
        <v>10.721065899999999</v>
      </c>
      <c r="K47" s="9">
        <f>('1Q 2022 Sales by Region Report'!K49)/1000000</f>
        <v>16.002970449999999</v>
      </c>
      <c r="L47" s="9">
        <f>('1Q 2022 Sales by Region Report'!L49)/1000000</f>
        <v>6.6267735900000035</v>
      </c>
      <c r="M47" s="9">
        <f>('1Q 2022 Sales by Region Report'!M49)/1000000</f>
        <v>48.870154560000003</v>
      </c>
      <c r="N47" s="9">
        <f>('1Q 2022 Sales by Region Report'!N49)/1000000</f>
        <v>6.6187103499999997</v>
      </c>
      <c r="O47" s="9">
        <f>('1Q 2022 Sales by Region Report'!O49)/1000000</f>
        <v>9.0992149999976152E-2</v>
      </c>
      <c r="P47" s="19">
        <f>('1Q 2022 Sales by Region Report'!P49)/1000000</f>
        <v>88.930667</v>
      </c>
    </row>
    <row r="48" spans="1:16" s="12" customFormat="1" ht="14" x14ac:dyDescent="0.25">
      <c r="A48" s="16" t="s">
        <v>45</v>
      </c>
      <c r="B48" s="18">
        <f>('1Q 2022 Sales by Region Report'!B52+'1Q 2022 Sales by Region Report'!B54)/1000000</f>
        <v>0.27822891999999999</v>
      </c>
      <c r="C48" s="18">
        <f>('1Q 2022 Sales by Region Report'!C52+'1Q 2022 Sales by Region Report'!C54)/1000000</f>
        <v>-1E-8</v>
      </c>
      <c r="D48" s="18">
        <f>('1Q 2022 Sales by Region Report'!D52+'1Q 2022 Sales by Region Report'!D54)/1000000</f>
        <v>0</v>
      </c>
      <c r="E48" s="18">
        <f>('1Q 2022 Sales by Region Report'!E52+'1Q 2022 Sales by Region Report'!E54)/1000000</f>
        <v>-4.3354055700000007</v>
      </c>
      <c r="F48" s="18">
        <f>('1Q 2022 Sales by Region Report'!F52+'1Q 2022 Sales by Region Report'!F54)/1000000</f>
        <v>5.1933779999999999E-2</v>
      </c>
      <c r="G48" s="18">
        <f>('1Q 2022 Sales by Region Report'!G52+'1Q 2022 Sales by Region Report'!G54)/1000000</f>
        <v>41.535365519999999</v>
      </c>
      <c r="H48" s="19">
        <f>('1Q 2022 Sales by Region Report'!H52+'1Q 2022 Sales by Region Report'!H54)/1000000</f>
        <v>37.530122640000002</v>
      </c>
      <c r="I48" s="12">
        <v>0</v>
      </c>
      <c r="J48" s="9">
        <f>('1Q 2022 Sales by Region Report'!J52+'1Q 2022 Sales by Region Report'!J54)/1000000</f>
        <v>-0.17011232000000001</v>
      </c>
      <c r="K48" s="9">
        <f>('1Q 2022 Sales by Region Report'!K52+'1Q 2022 Sales by Region Report'!K54)/1000000</f>
        <v>4.0554000000000002E-4</v>
      </c>
      <c r="L48" s="9">
        <f>('1Q 2022 Sales by Region Report'!L52+'1Q 2022 Sales by Region Report'!L54)/1000000</f>
        <v>0</v>
      </c>
      <c r="M48" s="9">
        <f>('1Q 2022 Sales by Region Report'!M52+'1Q 2022 Sales by Region Report'!M54)/1000000</f>
        <v>-1.5099300600000001</v>
      </c>
      <c r="N48" s="9">
        <f>('1Q 2022 Sales by Region Report'!N52+'1Q 2022 Sales by Region Report'!N54)/1000000</f>
        <v>-1.01956761</v>
      </c>
      <c r="O48" s="9">
        <f>('1Q 2022 Sales by Region Report'!O52+'1Q 2022 Sales by Region Report'!O54)/1000000</f>
        <v>71.29889476000001</v>
      </c>
      <c r="P48" s="19">
        <f>('1Q 2022 Sales by Region Report'!P52+'1Q 2022 Sales by Region Report'!P54)/1000000</f>
        <v>68.59969031</v>
      </c>
    </row>
    <row r="49" spans="1:16" ht="12" thickBot="1" x14ac:dyDescent="0.3">
      <c r="A49" s="1" t="s">
        <v>40</v>
      </c>
      <c r="B49" s="28">
        <f>('1Q 2022 Sales by Region Report'!B55)/1000000</f>
        <v>328.69994387000003</v>
      </c>
      <c r="C49" s="28">
        <f>('1Q 2022 Sales by Region Report'!C55)/1000000</f>
        <v>313.95694857999996</v>
      </c>
      <c r="D49" s="28">
        <f>('1Q 2022 Sales by Region Report'!D55)/1000000</f>
        <v>236.23045808000001</v>
      </c>
      <c r="E49" s="28">
        <f>('1Q 2022 Sales by Region Report'!E55)/1000000</f>
        <v>436.42697757999997</v>
      </c>
      <c r="F49" s="28">
        <f>('1Q 2022 Sales by Region Report'!F55)/1000000</f>
        <v>209.03337113999999</v>
      </c>
      <c r="G49" s="28">
        <f>('1Q 2022 Sales by Region Report'!G55)/1000000</f>
        <v>42.267831019999981</v>
      </c>
      <c r="H49" s="29">
        <f>('1Q 2022 Sales by Region Report'!H55)/1000000</f>
        <v>1566.6155302699999</v>
      </c>
      <c r="I49" s="30">
        <v>0</v>
      </c>
      <c r="J49" s="28">
        <f>('1Q 2022 Sales by Region Report'!J55)/1000000</f>
        <v>350.99734785000004</v>
      </c>
      <c r="K49" s="28">
        <f>('1Q 2022 Sales by Region Report'!K55)/1000000</f>
        <v>278.13358933999996</v>
      </c>
      <c r="L49" s="28">
        <f>('1Q 2022 Sales by Region Report'!L55)/1000000</f>
        <v>205.42395850999998</v>
      </c>
      <c r="M49" s="28">
        <f>('1Q 2022 Sales by Region Report'!M55)/1000000</f>
        <v>433.49326582999998</v>
      </c>
      <c r="N49" s="28">
        <f>('1Q 2022 Sales by Region Report'!N55)/1000000</f>
        <v>166.59815362000001</v>
      </c>
      <c r="O49" s="28">
        <f>('1Q 2022 Sales by Region Report'!O55)/1000000</f>
        <v>71.389886909999845</v>
      </c>
      <c r="P49" s="29">
        <f>('1Q 2022 Sales by Region Report'!P55)/1000000</f>
        <v>1506.0362020600001</v>
      </c>
    </row>
    <row r="50" spans="1:16" ht="12" thickTop="1" x14ac:dyDescent="0.25"/>
    <row r="51" spans="1:16" x14ac:dyDescent="0.25">
      <c r="A51" s="17" t="s">
        <v>41</v>
      </c>
    </row>
    <row r="52" spans="1:16" ht="14" x14ac:dyDescent="0.25">
      <c r="A52" s="17" t="s">
        <v>42</v>
      </c>
    </row>
    <row r="53" spans="1:16" ht="14" x14ac:dyDescent="0.25">
      <c r="A53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69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67D7-BD26-4CF2-9D5E-B1ACED1DA577}">
  <sheetPr codeName="Sheet3">
    <pageSetUpPr autoPageBreaks="0"/>
  </sheetPr>
  <dimension ref="A1:Q159"/>
  <sheetViews>
    <sheetView workbookViewId="0">
      <pane xSplit="1" ySplit="6" topLeftCell="B28" activePane="bottomRight" state="frozen"/>
      <selection activeCell="H53" sqref="H53"/>
      <selection pane="topRight" activeCell="H53" sqref="H53"/>
      <selection pane="bottomLeft" activeCell="H53" sqref="H53"/>
      <selection pane="bottomRight" activeCell="H53" sqref="H53"/>
    </sheetView>
  </sheetViews>
  <sheetFormatPr defaultRowHeight="14.5" x14ac:dyDescent="0.35"/>
  <cols>
    <col min="1" max="1" width="35.54296875" bestFit="1" customWidth="1"/>
    <col min="2" max="2" width="20.7265625" style="31" bestFit="1" customWidth="1"/>
    <col min="3" max="6" width="15.26953125" style="31" bestFit="1" customWidth="1"/>
    <col min="7" max="7" width="12" style="31" bestFit="1" customWidth="1"/>
    <col min="8" max="8" width="21.54296875" style="31" bestFit="1" customWidth="1"/>
    <col min="9" max="9" width="4.26953125" style="31" customWidth="1"/>
    <col min="10" max="14" width="15.26953125" style="31" bestFit="1" customWidth="1"/>
    <col min="15" max="15" width="14.26953125" style="31" bestFit="1" customWidth="1"/>
    <col min="16" max="16" width="21.54296875" style="31" bestFit="1" customWidth="1"/>
  </cols>
  <sheetData>
    <row r="1" spans="1:16" x14ac:dyDescent="0.35">
      <c r="A1" s="39" t="str">
        <f xml:space="preserve"> _xll.EPMOlapMemberO("[CATEGORY].[PARENTH1].[ACTUAL]","","ACTUAL - Actual Results","","000")</f>
        <v>ACTUAL - Actual Results</v>
      </c>
    </row>
    <row r="2" spans="1:16" x14ac:dyDescent="0.35">
      <c r="A2" s="39" t="str">
        <f xml:space="preserve"> _xll.EPMOlapMemberO("[REPORTING_LINE].[PARENTH1].[F_NET_SALES]","","F_NET_SALES - Net Sales","","000")</f>
        <v>F_NET_SALES - Net Sales</v>
      </c>
    </row>
    <row r="4" spans="1:16" x14ac:dyDescent="0.35">
      <c r="B4" s="37" t="str">
        <f xml:space="preserve"> _xll.EPMOlapMemberO("[TIME].[PARENTH1].[2021.12]","","2021.12 - Dec-21","","000")</f>
        <v>2021.12 - Dec-21</v>
      </c>
      <c r="C4" s="37"/>
      <c r="D4" s="37"/>
      <c r="E4" s="37"/>
      <c r="F4" s="37"/>
      <c r="G4" s="38"/>
      <c r="H4" s="37"/>
      <c r="I4" s="38"/>
      <c r="J4" s="37" t="str">
        <f xml:space="preserve"> _xll.EPMOlapMemberO("[TIME].[PARENTH1].[2020.12]","","2020.12 - Dec-20","","000")</f>
        <v>2020.12 - Dec-20</v>
      </c>
      <c r="K4" s="32"/>
      <c r="L4" s="32"/>
      <c r="M4" s="32"/>
      <c r="N4" s="32"/>
      <c r="P4" s="32"/>
    </row>
    <row r="5" spans="1:16" x14ac:dyDescent="0.35">
      <c r="B5" s="32" t="str">
        <f xml:space="preserve"> _xll.EPMOlapMemberO("[MEASURES].[].[YTD]","","YTD - Year To Date","","000")</f>
        <v>YTD - Year To Date</v>
      </c>
      <c r="C5" s="32"/>
      <c r="D5" s="32"/>
      <c r="E5" s="32"/>
      <c r="F5" s="32"/>
      <c r="H5" s="32"/>
      <c r="J5" s="32" t="str">
        <f xml:space="preserve"> _xll.EPMOlapMemberO("[MEASURES].[].[YTD]","","YTD - Year To Date","","000")</f>
        <v>YTD - Year To Date</v>
      </c>
      <c r="K5" s="32"/>
      <c r="L5" s="32"/>
      <c r="M5" s="32"/>
      <c r="N5" s="32"/>
      <c r="P5" s="32"/>
    </row>
    <row r="6" spans="1:16" x14ac:dyDescent="0.35">
      <c r="B6" s="32" t="str">
        <f xml:space="preserve"> _xll.EPMOlapMemberO("[ORGANIZATION].[PARENTH1].[OCO_USPR]","","US and Puerto Rico","","000")</f>
        <v>US and Puerto Rico</v>
      </c>
      <c r="C6" s="32" t="str">
        <f xml:space="preserve"> _xll.EPMOlapMemberO("[ORGANIZATION].[PARENTH1].[OCO_APAC]","","APAC","","000")</f>
        <v>APAC</v>
      </c>
      <c r="D6" s="32" t="str">
        <f xml:space="preserve"> _xll.EPMOlapMemberO("[ORGANIZATION].[PARENTH1].[OCO_CN]","","China Total","","000")</f>
        <v>China Total</v>
      </c>
      <c r="E6" s="32" t="str">
        <f xml:space="preserve"> _xll.EPMOlapMemberO("[ORGANIZATION].[PARENTH1].[OCO_EUCAN]","","Europe &amp; Canada","","000")</f>
        <v>Europe &amp; Canada</v>
      </c>
      <c r="F6" s="32" t="str">
        <f xml:space="preserve"> _xll.EPMOlapMemberO("[ORGANIZATION].[PARENTH1].[OCO_EEMEA_LATAM]","","LAMERA","","000")</f>
        <v>LAMERA</v>
      </c>
      <c r="G6" s="31" t="s">
        <v>2</v>
      </c>
      <c r="H6" s="32" t="str">
        <f xml:space="preserve"> _xll.EPMOlapMemberO("[ORGANIZATION].[PARENTH1].[ORGANON]","","Organon - All Divisions","","000")</f>
        <v>Organon - All Divisions</v>
      </c>
      <c r="J6" s="32" t="str">
        <f xml:space="preserve"> _xll.EPMOlapMemberO("[ORGANIZATION].[PARENTH1].[OCO_USPR]","","US and Puerto Rico","","000")</f>
        <v>US and Puerto Rico</v>
      </c>
      <c r="K6" s="32" t="str">
        <f xml:space="preserve"> _xll.EPMOlapMemberO("[ORGANIZATION].[PARENTH1].[OCO_APAC]","","APAC","","000")</f>
        <v>APAC</v>
      </c>
      <c r="L6" s="32" t="str">
        <f xml:space="preserve"> _xll.EPMOlapMemberO("[ORGANIZATION].[PARENTH1].[OCO_CN]","","China Total","","000")</f>
        <v>China Total</v>
      </c>
      <c r="M6" s="32" t="str">
        <f xml:space="preserve"> _xll.EPMOlapMemberO("[ORGANIZATION].[PARENTH1].[OCO_EUCAN]","","Europe &amp; Canada","","000")</f>
        <v>Europe &amp; Canada</v>
      </c>
      <c r="N6" s="32" t="str">
        <f xml:space="preserve"> _xll.EPMOlapMemberO("[ORGANIZATION].[PARENTH1].[OCO_EEMEA_LATAM]","","LAMERA","","000")</f>
        <v>LAMERA</v>
      </c>
      <c r="O6" s="31" t="s">
        <v>2</v>
      </c>
      <c r="P6" s="32" t="str">
        <f xml:space="preserve"> _xll.EPMOlapMemberO("[ORGANIZATION].[PARENTH1].[ORGANON]","","Organon - All Divisions","","000")</f>
        <v>Organon - All Divisions</v>
      </c>
    </row>
    <row r="7" spans="1:16" x14ac:dyDescent="0.35">
      <c r="A7" s="33"/>
    </row>
    <row r="8" spans="1:16" hidden="1" x14ac:dyDescent="0.35">
      <c r="A8" s="43" t="str">
        <f xml:space="preserve"> _xll.EPMOlapMemberO("[PRODUCT].[PARENTH1].[XPL]","","Nexplanon","","000")</f>
        <v>Nexplanon</v>
      </c>
      <c r="B8" s="31">
        <v>532259838.17000002</v>
      </c>
      <c r="C8" s="31">
        <v>29638886.120000001</v>
      </c>
      <c r="D8" s="31">
        <v>392525.5</v>
      </c>
      <c r="E8" s="31">
        <v>88462007.010000005</v>
      </c>
      <c r="F8" s="31">
        <v>118381719.51000001</v>
      </c>
      <c r="G8" s="31">
        <v>0</v>
      </c>
      <c r="H8" s="31">
        <v>769134976.30999994</v>
      </c>
      <c r="J8" s="31">
        <v>487872593.29000002</v>
      </c>
      <c r="K8" s="31">
        <v>24629130.890000001</v>
      </c>
      <c r="L8" s="31">
        <v>364923.64</v>
      </c>
      <c r="M8" s="31">
        <v>71370847.099999994</v>
      </c>
      <c r="N8" s="31">
        <v>95568236.909999996</v>
      </c>
      <c r="O8" s="31">
        <v>0</v>
      </c>
      <c r="P8" s="31">
        <v>679805769.78999996</v>
      </c>
    </row>
    <row r="9" spans="1:16" hidden="1" x14ac:dyDescent="0.35">
      <c r="A9" s="43" t="str">
        <f xml:space="preserve"> _xll.EPMOlapMemberO("[PRODUCT].[PARENTH1].[ITA]","","Implanon Training Applicator","","000")</f>
        <v>Implanon Training Applicator</v>
      </c>
      <c r="B9" s="31">
        <v>630.01</v>
      </c>
      <c r="F9" s="31">
        <v>-1859.85</v>
      </c>
      <c r="H9" s="31">
        <v>-1229.8399999999999</v>
      </c>
    </row>
    <row r="10" spans="1:16" x14ac:dyDescent="0.35">
      <c r="A10" s="56" t="s">
        <v>51</v>
      </c>
      <c r="B10" s="31">
        <f>SUM(B8:B9)</f>
        <v>532260468.18000001</v>
      </c>
      <c r="C10" s="31">
        <f t="shared" ref="C10:H10" si="0">SUM(C8:C9)</f>
        <v>29638886.120000001</v>
      </c>
      <c r="D10" s="31">
        <f t="shared" si="0"/>
        <v>392525.5</v>
      </c>
      <c r="E10" s="31">
        <f t="shared" si="0"/>
        <v>88462007.010000005</v>
      </c>
      <c r="F10" s="31">
        <f t="shared" si="0"/>
        <v>118379859.66000001</v>
      </c>
      <c r="G10" s="31">
        <f>H10-SUM(B10:F10)</f>
        <v>0</v>
      </c>
      <c r="H10" s="31">
        <f t="shared" si="0"/>
        <v>769133746.46999991</v>
      </c>
      <c r="J10" s="31">
        <f>SUM(J8:J9)</f>
        <v>487872593.29000002</v>
      </c>
      <c r="K10" s="31">
        <f t="shared" ref="K10:P10" si="1">SUM(K8:K9)</f>
        <v>24629130.890000001</v>
      </c>
      <c r="L10" s="31">
        <f t="shared" si="1"/>
        <v>364923.64</v>
      </c>
      <c r="M10" s="31">
        <f t="shared" si="1"/>
        <v>71370847.099999994</v>
      </c>
      <c r="N10" s="31">
        <f t="shared" si="1"/>
        <v>95568236.909999996</v>
      </c>
      <c r="O10" s="31">
        <f>P10-SUM(J10:N10)</f>
        <v>37.960000038146973</v>
      </c>
      <c r="P10" s="31">
        <f t="shared" si="1"/>
        <v>679805769.78999996</v>
      </c>
    </row>
    <row r="11" spans="1:16" x14ac:dyDescent="0.35">
      <c r="A11" s="44" t="str">
        <f xml:space="preserve"> _xll.EPMOlapMemberO("[PRODUCT].[PARENTH1].[XPU]","","Follistim Puregon","","000")</f>
        <v>Follistim Puregon</v>
      </c>
      <c r="B11" s="31">
        <v>109955298.95999999</v>
      </c>
      <c r="C11" s="31">
        <v>22892504.531488001</v>
      </c>
      <c r="D11" s="31">
        <v>54287816.219999999</v>
      </c>
      <c r="E11" s="31">
        <v>42052669.82</v>
      </c>
      <c r="F11" s="31">
        <v>8124444.9699999997</v>
      </c>
      <c r="G11" s="31">
        <f t="shared" ref="G11:G74" si="2">H11-SUM(B11:F11)</f>
        <v>0</v>
      </c>
      <c r="H11" s="31">
        <v>237312734.501488</v>
      </c>
      <c r="J11" s="31">
        <v>84294143.969999999</v>
      </c>
      <c r="K11" s="31">
        <v>22612881.010000002</v>
      </c>
      <c r="L11" s="31">
        <v>42242802.299999997</v>
      </c>
      <c r="M11" s="31">
        <v>38464352.859999999</v>
      </c>
      <c r="N11" s="31">
        <v>5050341.62</v>
      </c>
      <c r="O11" s="31">
        <f t="shared" ref="O11:O53" si="3">P11-SUM(J11:N11)</f>
        <v>64.46000000834465</v>
      </c>
      <c r="P11" s="31">
        <v>192664586.22</v>
      </c>
    </row>
    <row r="12" spans="1:16" x14ac:dyDescent="0.35">
      <c r="A12" s="43" t="str">
        <f xml:space="preserve"> _xll.EPMOlapMemberO("[PRODUCT].[PARENTH1].[XNU]","","Nuvaring","","000")</f>
        <v>Nuvaring</v>
      </c>
      <c r="B12" s="31">
        <v>85060240.659999996</v>
      </c>
      <c r="C12" s="31">
        <v>2205682.2200000002</v>
      </c>
      <c r="E12" s="31">
        <v>75865527.269999996</v>
      </c>
      <c r="F12" s="31">
        <v>27979987.199999999</v>
      </c>
      <c r="G12" s="31">
        <f t="shared" si="2"/>
        <v>0</v>
      </c>
      <c r="H12" s="31">
        <v>191111437.34999999</v>
      </c>
      <c r="J12" s="31">
        <v>110853022.09</v>
      </c>
      <c r="K12" s="31">
        <v>4933112.08</v>
      </c>
      <c r="M12" s="31">
        <v>92080530.340000004</v>
      </c>
      <c r="N12" s="31">
        <v>28570644.289999999</v>
      </c>
      <c r="O12" s="31">
        <f t="shared" si="3"/>
        <v>50.220000028610229</v>
      </c>
      <c r="P12" s="31">
        <v>236437359.02000001</v>
      </c>
    </row>
    <row r="13" spans="1:16" x14ac:dyDescent="0.35">
      <c r="A13" s="44" t="str">
        <f xml:space="preserve"> _xll.EPMOlapMemberO("[PRODUCT].[PARENTH1].[XGL]","","Orgalutran","","000")</f>
        <v>Orgalutran</v>
      </c>
      <c r="B13" s="31">
        <v>22464856.73</v>
      </c>
      <c r="C13" s="31">
        <v>22205264.370000001</v>
      </c>
      <c r="D13" s="31">
        <v>20353537.199999999</v>
      </c>
      <c r="E13" s="31">
        <v>35773157.530000001</v>
      </c>
      <c r="F13" s="31">
        <v>9841539.8499999996</v>
      </c>
      <c r="G13" s="31">
        <f t="shared" si="2"/>
        <v>0</v>
      </c>
      <c r="H13" s="31">
        <v>110638355.68000001</v>
      </c>
      <c r="J13" s="31">
        <v>11441473.140000001</v>
      </c>
      <c r="K13" s="31">
        <v>21347596.93</v>
      </c>
      <c r="L13" s="31">
        <v>13991802.119999999</v>
      </c>
      <c r="M13" s="31">
        <v>26906201.530000001</v>
      </c>
      <c r="N13" s="31">
        <v>6865479.4699999997</v>
      </c>
      <c r="O13" s="31">
        <f t="shared" si="3"/>
        <v>45.930000007152557</v>
      </c>
      <c r="P13" s="31">
        <v>80552599.120000005</v>
      </c>
    </row>
    <row r="14" spans="1:16" x14ac:dyDescent="0.35">
      <c r="A14" s="43" t="str">
        <f xml:space="preserve"> _xll.EPMOlapMemberO("[PRODUCT].[PARENTH1].[XCE]","","Cerazette","","000")</f>
        <v>Cerazette</v>
      </c>
      <c r="C14" s="31">
        <v>2043367.59</v>
      </c>
      <c r="E14" s="31">
        <v>45483352.240000002</v>
      </c>
      <c r="F14" s="31">
        <v>22830955.18</v>
      </c>
      <c r="G14" s="31">
        <f t="shared" si="2"/>
        <v>0</v>
      </c>
      <c r="H14" s="31">
        <v>70357675.010000005</v>
      </c>
      <c r="K14" s="31">
        <v>1877411.57</v>
      </c>
      <c r="M14" s="31">
        <v>44011624.579999998</v>
      </c>
      <c r="N14" s="31">
        <v>21207679.059999999</v>
      </c>
      <c r="O14" s="31">
        <f t="shared" si="3"/>
        <v>41.080000005662441</v>
      </c>
      <c r="P14" s="31">
        <v>67096756.289999999</v>
      </c>
    </row>
    <row r="15" spans="1:16" x14ac:dyDescent="0.35">
      <c r="A15" s="34" t="s">
        <v>55</v>
      </c>
      <c r="B15" s="31">
        <f>(B16-SUM(B10:B14))</f>
        <v>94823633.529999971</v>
      </c>
      <c r="C15" s="31">
        <f t="shared" ref="C15:F15" si="4">(C16-SUM(C10:C14))</f>
        <v>52971702.769999981</v>
      </c>
      <c r="D15" s="31">
        <f t="shared" si="4"/>
        <v>-1.9999995827674866E-2</v>
      </c>
      <c r="E15" s="31">
        <f t="shared" si="4"/>
        <v>41635211.339999974</v>
      </c>
      <c r="F15" s="31">
        <f t="shared" si="4"/>
        <v>43963804.129999995</v>
      </c>
      <c r="G15" s="31">
        <f t="shared" si="2"/>
        <v>0</v>
      </c>
      <c r="H15" s="31">
        <f>(H16-SUM(H10:H14))</f>
        <v>233394351.75</v>
      </c>
      <c r="J15" s="31">
        <f>(J16-SUM(J10:J14))</f>
        <v>165077759.63</v>
      </c>
      <c r="K15" s="31">
        <f>(K16-SUM(K10:K14))</f>
        <v>51822040.620000005</v>
      </c>
      <c r="L15" s="31">
        <f>(L16-SUM(L10:L14))</f>
        <v>7.4505805969238281E-9</v>
      </c>
      <c r="M15" s="31">
        <f>(M16-SUM(M10:M14))</f>
        <v>40330960.979999959</v>
      </c>
      <c r="N15" s="31">
        <f>(N16-SUM(N10:N14))</f>
        <v>41147187.439999998</v>
      </c>
      <c r="O15" s="31">
        <f t="shared" si="3"/>
        <v>-115211.72999989986</v>
      </c>
      <c r="P15" s="31">
        <f>(P16-SUM(P10:P14))</f>
        <v>298262736.94000006</v>
      </c>
    </row>
    <row r="16" spans="1:16" s="36" customFormat="1" x14ac:dyDescent="0.35">
      <c r="A16" s="45" t="str">
        <f xml:space="preserve"> _xll.EPMOlapMemberO("[PRODUCT].[PARENTH1].[WOMENS_HEALTH]","","Total Women's Health","","000")</f>
        <v>Total Women's Health</v>
      </c>
      <c r="B16" s="35">
        <v>844564498.05999994</v>
      </c>
      <c r="C16" s="35">
        <v>131957407.60148799</v>
      </c>
      <c r="D16" s="35">
        <v>75033878.900000006</v>
      </c>
      <c r="E16" s="35">
        <v>329271925.20999998</v>
      </c>
      <c r="F16" s="35">
        <v>231120590.99000001</v>
      </c>
      <c r="G16" s="35">
        <f t="shared" si="2"/>
        <v>0</v>
      </c>
      <c r="H16" s="35">
        <v>1611948300.761488</v>
      </c>
      <c r="I16" s="35"/>
      <c r="J16" s="35">
        <v>859538992.12</v>
      </c>
      <c r="K16" s="35">
        <v>127222173.09999999</v>
      </c>
      <c r="L16" s="35">
        <v>56599528.060000002</v>
      </c>
      <c r="M16" s="35">
        <v>313164517.38999999</v>
      </c>
      <c r="N16" s="35">
        <v>198409568.78999999</v>
      </c>
      <c r="O16" s="35">
        <f t="shared" si="3"/>
        <v>-114972.07999992371</v>
      </c>
      <c r="P16" s="35">
        <v>1554819807.3800001</v>
      </c>
    </row>
    <row r="17" spans="1:16" x14ac:dyDescent="0.35">
      <c r="A17" s="44" t="str">
        <f xml:space="preserve"> _xll.EPMOlapMemberO("[PRODUCT].[PARENTH1].[SBT]","","Renflexis","","000")</f>
        <v>Renflexis</v>
      </c>
      <c r="B17" s="31">
        <v>164418156.56999999</v>
      </c>
      <c r="C17" s="31">
        <v>4808195.03</v>
      </c>
      <c r="E17" s="31">
        <v>16545256.52</v>
      </c>
      <c r="G17" s="31">
        <f t="shared" si="2"/>
        <v>0</v>
      </c>
      <c r="H17" s="31">
        <v>185771608.12</v>
      </c>
      <c r="J17" s="31">
        <v>123491256.59999999</v>
      </c>
      <c r="K17" s="31">
        <v>1976073.46</v>
      </c>
      <c r="M17" s="31">
        <v>9647219.9600000009</v>
      </c>
      <c r="O17" s="31">
        <f t="shared" si="3"/>
        <v>31.630000025033951</v>
      </c>
      <c r="P17" s="31">
        <v>135114581.65000001</v>
      </c>
    </row>
    <row r="18" spans="1:16" x14ac:dyDescent="0.35">
      <c r="A18" s="44" t="str">
        <f xml:space="preserve"> _xll.EPMOlapMemberO("[PRODUCT].[PARENTH1].[SBF]","","Ontruzant","","000")</f>
        <v>Ontruzant</v>
      </c>
      <c r="B18" s="31">
        <v>34177966.530000001</v>
      </c>
      <c r="C18" s="31">
        <v>1763722.94</v>
      </c>
      <c r="E18" s="31">
        <v>55541674.909999996</v>
      </c>
      <c r="F18" s="31">
        <v>34651934.200000003</v>
      </c>
      <c r="G18" s="31">
        <f t="shared" si="2"/>
        <v>0</v>
      </c>
      <c r="H18" s="31">
        <v>126135298.58</v>
      </c>
      <c r="J18" s="31">
        <v>2529230.08</v>
      </c>
      <c r="K18" s="31">
        <v>862736.88</v>
      </c>
      <c r="M18" s="31">
        <v>79508027.510000005</v>
      </c>
      <c r="N18" s="31">
        <v>32269686.84</v>
      </c>
      <c r="O18" s="31">
        <f t="shared" si="3"/>
        <v>22.390000000596046</v>
      </c>
      <c r="P18" s="31">
        <v>115169703.7</v>
      </c>
    </row>
    <row r="19" spans="1:16" x14ac:dyDescent="0.35">
      <c r="A19" s="44" t="str">
        <f xml:space="preserve"> _xll.EPMOlapMemberO("[PRODUCT].[PARENTH1].[ETA]","","Brenzys","","000")</f>
        <v>Brenzys</v>
      </c>
      <c r="C19" s="31">
        <v>19804912.969999999</v>
      </c>
      <c r="E19" s="31">
        <v>22431493.120000001</v>
      </c>
      <c r="F19" s="31">
        <v>20805108.640000001</v>
      </c>
      <c r="G19" s="31">
        <f t="shared" si="2"/>
        <v>0</v>
      </c>
      <c r="H19" s="31">
        <v>63041514.729999997</v>
      </c>
      <c r="K19" s="31">
        <v>15082117.439999999</v>
      </c>
      <c r="M19" s="31">
        <v>17345699.699999999</v>
      </c>
      <c r="N19" s="31">
        <v>42056874.049999997</v>
      </c>
      <c r="O19" s="31">
        <f t="shared" si="3"/>
        <v>4.6899999976158142</v>
      </c>
      <c r="P19" s="31">
        <v>74484695.879999995</v>
      </c>
    </row>
    <row r="20" spans="1:16" x14ac:dyDescent="0.35">
      <c r="A20" s="33" t="s">
        <v>56</v>
      </c>
      <c r="B20" s="31">
        <f>(B21-SUM(B17:B19))</f>
        <v>0</v>
      </c>
      <c r="C20" s="31">
        <f>(C21-SUM(C17:C19))</f>
        <v>5998295.8000000007</v>
      </c>
      <c r="D20" s="31">
        <f>(D21-SUM(D17:D19))</f>
        <v>0</v>
      </c>
      <c r="E20" s="31">
        <f>(E21-SUM(E17:E19))</f>
        <v>42962284.86999999</v>
      </c>
      <c r="F20" s="31">
        <f>(F21-SUM(F17:F19))</f>
        <v>0</v>
      </c>
      <c r="G20" s="31">
        <f t="shared" si="2"/>
        <v>0</v>
      </c>
      <c r="H20" s="31">
        <f>(H21-SUM(H17:H19))</f>
        <v>48960580.670000017</v>
      </c>
      <c r="J20" s="31">
        <f>(J21-SUM(J17:J19))</f>
        <v>1.4901161193847656E-8</v>
      </c>
      <c r="K20" s="31">
        <f>(K21-SUM(K17:K19))</f>
        <v>0</v>
      </c>
      <c r="L20" s="31">
        <f>(L21-SUM(L17:L19))</f>
        <v>0</v>
      </c>
      <c r="M20" s="31">
        <f>(M21-SUM(M17:M19))</f>
        <v>5481642.9299999923</v>
      </c>
      <c r="N20" s="31">
        <f>(N21-SUM(N17:N19))</f>
        <v>0</v>
      </c>
      <c r="O20" s="31">
        <f t="shared" si="3"/>
        <v>1.0399999618530273</v>
      </c>
      <c r="P20" s="31">
        <f>(P21-SUM(P17:P19))</f>
        <v>5481643.969999969</v>
      </c>
    </row>
    <row r="21" spans="1:16" s="36" customFormat="1" x14ac:dyDescent="0.35">
      <c r="A21" s="45" t="str">
        <f xml:space="preserve"> _xll.EPMOlapMemberO("[PRODUCT].[PARENTH1].[PROJECT_SONG]","","Biosimilars - Total","","000")</f>
        <v>Biosimilars - Total</v>
      </c>
      <c r="B21" s="35">
        <v>198596123.09999999</v>
      </c>
      <c r="C21" s="35">
        <v>32375126.739999998</v>
      </c>
      <c r="D21" s="35"/>
      <c r="E21" s="35">
        <v>137480709.41999999</v>
      </c>
      <c r="F21" s="35">
        <v>55457042.840000004</v>
      </c>
      <c r="G21" s="35">
        <f t="shared" si="2"/>
        <v>0</v>
      </c>
      <c r="H21" s="35">
        <v>423909002.10000002</v>
      </c>
      <c r="I21" s="35"/>
      <c r="J21" s="35">
        <v>126020486.68000001</v>
      </c>
      <c r="K21" s="35">
        <v>17920927.780000001</v>
      </c>
      <c r="L21" s="35"/>
      <c r="M21" s="35">
        <v>111982590.09999999</v>
      </c>
      <c r="N21" s="35">
        <v>74326560.890000001</v>
      </c>
      <c r="O21" s="35">
        <f t="shared" si="3"/>
        <v>59.75</v>
      </c>
      <c r="P21" s="35">
        <v>330250625.19999999</v>
      </c>
    </row>
    <row r="22" spans="1:16" x14ac:dyDescent="0.35">
      <c r="A22" s="47" t="str">
        <f xml:space="preserve"> _xll.EPMOlapMemberO("[PRODUCT].[PARENTH1].[ZETIA]","","Zetia Products","","000")</f>
        <v>Zetia Products</v>
      </c>
      <c r="B22" s="31">
        <v>9677823.0899999999</v>
      </c>
      <c r="C22" s="31">
        <v>71874794.829999998</v>
      </c>
      <c r="D22" s="31">
        <v>174244824.94999999</v>
      </c>
      <c r="E22" s="31">
        <v>97107286.989999995</v>
      </c>
      <c r="F22" s="31">
        <v>24622458.579999998</v>
      </c>
      <c r="G22" s="31">
        <f t="shared" si="2"/>
        <v>0</v>
      </c>
      <c r="H22" s="31">
        <v>377527188.44</v>
      </c>
      <c r="J22" s="31">
        <v>-1009169.32</v>
      </c>
      <c r="K22" s="31">
        <v>243016299.68000001</v>
      </c>
      <c r="L22" s="31">
        <v>112550489.48</v>
      </c>
      <c r="M22" s="31">
        <v>101428709.69</v>
      </c>
      <c r="N22" s="31">
        <v>25779919.699999999</v>
      </c>
      <c r="O22" s="31">
        <f t="shared" si="3"/>
        <v>61.589999973773956</v>
      </c>
      <c r="P22" s="31">
        <v>481766310.81999999</v>
      </c>
    </row>
    <row r="23" spans="1:16" x14ac:dyDescent="0.35">
      <c r="A23" s="47" t="str">
        <f xml:space="preserve"> _xll.EPMOlapMemberO("[PRODUCT].[PARENTH1].[VYTORIN]","","Vytorin Products","","000")</f>
        <v>Vytorin Products</v>
      </c>
      <c r="B23" s="31">
        <v>10579150.23</v>
      </c>
      <c r="C23" s="31">
        <v>37610041.899999999</v>
      </c>
      <c r="D23" s="31">
        <v>1742589.48</v>
      </c>
      <c r="E23" s="31">
        <v>77578593.379999995</v>
      </c>
      <c r="F23" s="31">
        <v>36309877.229999997</v>
      </c>
      <c r="G23" s="31">
        <f t="shared" si="2"/>
        <v>185624.57000002265</v>
      </c>
      <c r="H23" s="31">
        <v>164005876.78999999</v>
      </c>
      <c r="J23" s="31">
        <v>12397038.720000001</v>
      </c>
      <c r="K23" s="31">
        <v>40923274.549999997</v>
      </c>
      <c r="L23" s="31">
        <v>1512380.03</v>
      </c>
      <c r="M23" s="31">
        <v>85069494.180000007</v>
      </c>
      <c r="N23" s="31">
        <v>42526674.060000002</v>
      </c>
      <c r="O23" s="31">
        <f t="shared" si="3"/>
        <v>46.739999979734421</v>
      </c>
      <c r="P23" s="31">
        <v>182428908.28</v>
      </c>
    </row>
    <row r="24" spans="1:16" x14ac:dyDescent="0.35">
      <c r="A24" s="43" t="str">
        <f xml:space="preserve"> _xll.EPMOlapMemberO("[PRODUCT].[PARENTH1].[LIPTRUZET]","","Atozet Products","","000")</f>
        <v>Atozet Products</v>
      </c>
      <c r="B24" s="31">
        <v>0</v>
      </c>
      <c r="C24" s="31">
        <v>141449056.02000001</v>
      </c>
      <c r="E24" s="31">
        <v>288723095.25999999</v>
      </c>
      <c r="F24" s="31">
        <v>27399560.48</v>
      </c>
      <c r="G24" s="31">
        <f t="shared" si="2"/>
        <v>0</v>
      </c>
      <c r="H24" s="31">
        <v>457571711.75999999</v>
      </c>
      <c r="K24" s="31">
        <v>127958377.2</v>
      </c>
      <c r="M24" s="31">
        <v>302330862.86000001</v>
      </c>
      <c r="N24" s="31">
        <v>23158152.289999999</v>
      </c>
      <c r="O24" s="31">
        <f t="shared" si="3"/>
        <v>41.079999983310699</v>
      </c>
      <c r="P24" s="31">
        <v>453447433.43000001</v>
      </c>
    </row>
    <row r="25" spans="1:16" x14ac:dyDescent="0.35">
      <c r="A25" s="43" t="str">
        <f xml:space="preserve"> _xll.EPMOlapMemberO("[PRODUCT].[PARENTH1].[ROSPROD]","","Rosuzet Products","","000")</f>
        <v>Rosuzet Products</v>
      </c>
      <c r="C25" s="31">
        <v>66783736.960000001</v>
      </c>
      <c r="F25" s="31">
        <v>1040192.94</v>
      </c>
      <c r="G25" s="31">
        <f>H25-SUM(B25:F25)</f>
        <v>0</v>
      </c>
      <c r="H25" s="31">
        <v>67823929.900000006</v>
      </c>
      <c r="K25" s="31">
        <v>130029592.90000001</v>
      </c>
      <c r="O25" s="31">
        <f>P25-SUM(J25:N25)</f>
        <v>-2.9800000041723251</v>
      </c>
      <c r="P25" s="31">
        <v>130029589.92</v>
      </c>
    </row>
    <row r="26" spans="1:16" x14ac:dyDescent="0.35">
      <c r="A26" s="44" t="str">
        <f xml:space="preserve"> _xll.EPMOlapMemberO("[PRODUCT].[PARENTH1].[COZAAR_HYZAAR]","","Cozaar Hyzaar Products","","000")</f>
        <v>Cozaar Hyzaar Products</v>
      </c>
      <c r="B26" s="31">
        <v>12124577.9</v>
      </c>
      <c r="C26" s="31">
        <v>109742667.59</v>
      </c>
      <c r="D26" s="31">
        <v>162524305.25</v>
      </c>
      <c r="E26" s="31">
        <v>40426584.170000002</v>
      </c>
      <c r="F26" s="31">
        <v>32525087.629999999</v>
      </c>
      <c r="G26" s="31">
        <f t="shared" si="2"/>
        <v>0</v>
      </c>
      <c r="H26" s="31">
        <v>357343222.54000002</v>
      </c>
      <c r="J26" s="31">
        <v>21330306.079999998</v>
      </c>
      <c r="K26" s="31">
        <v>113732501.31</v>
      </c>
      <c r="L26" s="31">
        <v>161571774.90000001</v>
      </c>
      <c r="M26" s="31">
        <v>47592695.969999999</v>
      </c>
      <c r="N26" s="31">
        <v>41895671.530000001</v>
      </c>
      <c r="O26" s="31">
        <f t="shared" si="3"/>
        <v>151.60000002384186</v>
      </c>
      <c r="P26" s="31">
        <v>386123101.38999999</v>
      </c>
    </row>
    <row r="27" spans="1:16" x14ac:dyDescent="0.35">
      <c r="A27" s="44" t="str">
        <f xml:space="preserve"> _xll.EPMOlapMemberO("[PRODUCT].[PARENTH1].[ZOCOR]","","Zocor Products","","000")</f>
        <v>Zocor Products</v>
      </c>
      <c r="B27" s="31">
        <v>3824708.75</v>
      </c>
      <c r="C27" s="31">
        <v>14318877.560000001</v>
      </c>
      <c r="D27" s="31">
        <v>19360215.07</v>
      </c>
      <c r="E27" s="31">
        <v>18240864.75</v>
      </c>
      <c r="F27" s="31">
        <v>8895508.25</v>
      </c>
      <c r="G27" s="31">
        <f t="shared" si="2"/>
        <v>0</v>
      </c>
      <c r="H27" s="31">
        <v>64640174.380000003</v>
      </c>
      <c r="J27" s="31">
        <v>2542096.94</v>
      </c>
      <c r="K27" s="31">
        <v>15523301.33</v>
      </c>
      <c r="L27" s="31">
        <v>29636947.890000001</v>
      </c>
      <c r="M27" s="31">
        <v>20364858.32</v>
      </c>
      <c r="N27" s="31">
        <v>8987638.5700000003</v>
      </c>
      <c r="O27" s="31">
        <f t="shared" si="3"/>
        <v>28.070000022649765</v>
      </c>
      <c r="P27" s="31">
        <v>77054871.120000005</v>
      </c>
    </row>
    <row r="28" spans="1:16" x14ac:dyDescent="0.35">
      <c r="A28" s="33" t="s">
        <v>57</v>
      </c>
      <c r="B28" s="31">
        <f>(B29-SUM(B22:B27))</f>
        <v>0</v>
      </c>
      <c r="C28" s="31">
        <f>(C29-SUM(C22:C27))</f>
        <v>45934918.150000036</v>
      </c>
      <c r="D28" s="31">
        <f>(D29-SUM(D22:D27))</f>
        <v>9663.9700000882149</v>
      </c>
      <c r="E28" s="31">
        <f>(E29-SUM(E22:E27))</f>
        <v>56277635.069999993</v>
      </c>
      <c r="F28" s="31">
        <f>(F29-SUM(F22:F27))</f>
        <v>24426597.920000017</v>
      </c>
      <c r="G28" s="31">
        <f t="shared" si="2"/>
        <v>-2.384185791015625E-7</v>
      </c>
      <c r="H28" s="31">
        <f>(H29-SUM(H22:H27))</f>
        <v>126648815.1099999</v>
      </c>
      <c r="J28" s="31">
        <f>(J29-SUM(J22:J27))</f>
        <v>7.4505805969238281E-9</v>
      </c>
      <c r="K28" s="31">
        <f>(K29-SUM(K22:K27))</f>
        <v>73483731.159999847</v>
      </c>
      <c r="L28" s="31">
        <f>(L29-SUM(L22:L27))</f>
        <v>7858.7799999713898</v>
      </c>
      <c r="M28" s="31">
        <f>(M29-SUM(M22:M27))</f>
        <v>60038487.029999852</v>
      </c>
      <c r="N28" s="31">
        <f>(N29-SUM(N22:N27))</f>
        <v>28443513.069999993</v>
      </c>
      <c r="O28" s="31">
        <f t="shared" si="3"/>
        <v>66.640000402927399</v>
      </c>
      <c r="P28" s="31">
        <f>(P29-SUM(P22:P27))</f>
        <v>161973656.68000007</v>
      </c>
    </row>
    <row r="29" spans="1:16" s="36" customFormat="1" x14ac:dyDescent="0.35">
      <c r="A29" s="48" t="str">
        <f xml:space="preserve"> _xll.EPMOlapMemberO("[PRODUCT].[PARENTH1].[HYPERTENSION]","","Established Cardiovascular","","000")</f>
        <v>Established Cardiovascular</v>
      </c>
      <c r="B29" s="35">
        <v>36206259.969999999</v>
      </c>
      <c r="C29" s="35">
        <v>487714093.00999999</v>
      </c>
      <c r="D29" s="35">
        <v>357881598.72000003</v>
      </c>
      <c r="E29" s="35">
        <v>578354059.62</v>
      </c>
      <c r="F29" s="35">
        <v>155219283.03</v>
      </c>
      <c r="G29" s="35">
        <f t="shared" si="2"/>
        <v>185624.56999993324</v>
      </c>
      <c r="H29" s="35">
        <v>1615560918.9200001</v>
      </c>
      <c r="I29" s="35"/>
      <c r="J29" s="35">
        <v>35260272.420000002</v>
      </c>
      <c r="K29" s="35">
        <v>744667078.13</v>
      </c>
      <c r="L29" s="35">
        <v>305279451.07999998</v>
      </c>
      <c r="M29" s="35">
        <v>616825108.04999995</v>
      </c>
      <c r="N29" s="35">
        <v>170791569.22</v>
      </c>
      <c r="O29" s="35">
        <f t="shared" si="3"/>
        <v>392.74000024795532</v>
      </c>
      <c r="P29" s="35">
        <v>1872823871.6400001</v>
      </c>
    </row>
    <row r="30" spans="1:16" x14ac:dyDescent="0.35">
      <c r="A30" s="44" t="str">
        <f xml:space="preserve"> _xll.EPMOlapMemberO("[PRODUCT].[PARENTH1].[SINGULAIRPROD]","","Singulair Products","","000")</f>
        <v>Singulair Products</v>
      </c>
      <c r="B30" s="31">
        <v>15019190.98</v>
      </c>
      <c r="C30" s="31">
        <v>155959486.72999999</v>
      </c>
      <c r="D30" s="31">
        <v>139739239.16999999</v>
      </c>
      <c r="E30" s="31">
        <v>64940816.469999999</v>
      </c>
      <c r="F30" s="31">
        <v>37172069.939999998</v>
      </c>
      <c r="G30" s="31">
        <f t="shared" si="2"/>
        <v>0</v>
      </c>
      <c r="H30" s="31">
        <v>412830803.29000002</v>
      </c>
      <c r="J30" s="31">
        <v>17960379.77</v>
      </c>
      <c r="K30" s="31">
        <v>189410842.80000001</v>
      </c>
      <c r="L30" s="31">
        <v>140657236.16999999</v>
      </c>
      <c r="M30" s="31">
        <v>69491349.480000004</v>
      </c>
      <c r="N30" s="31">
        <v>44295274.090000004</v>
      </c>
      <c r="O30" s="31">
        <f t="shared" si="3"/>
        <v>38.63999992609024</v>
      </c>
      <c r="P30" s="31">
        <v>461815120.94999999</v>
      </c>
    </row>
    <row r="31" spans="1:16" x14ac:dyDescent="0.35">
      <c r="A31" s="44" t="str">
        <f xml:space="preserve"> _xll.EPMOlapMemberO("[PRODUCT].[PARENTH1].[NASONEX]","","Nasonex Products","","000")</f>
        <v>Nasonex Products</v>
      </c>
      <c r="B31" s="31">
        <v>4471901.37</v>
      </c>
      <c r="C31" s="31">
        <v>23064362.73</v>
      </c>
      <c r="D31" s="31">
        <v>69537477.019999996</v>
      </c>
      <c r="E31" s="31">
        <v>43667621.100000001</v>
      </c>
      <c r="F31" s="31">
        <v>63889463.009999998</v>
      </c>
      <c r="G31" s="31">
        <f t="shared" si="2"/>
        <v>1106763.5800000131</v>
      </c>
      <c r="H31" s="31">
        <v>205737588.81</v>
      </c>
      <c r="J31" s="31">
        <v>11976844.689999999</v>
      </c>
      <c r="K31" s="31">
        <v>42116221.289999999</v>
      </c>
      <c r="L31" s="31">
        <v>52028727.859999999</v>
      </c>
      <c r="M31" s="31">
        <v>45083623.700000003</v>
      </c>
      <c r="N31" s="31">
        <v>67034888.939999998</v>
      </c>
      <c r="O31" s="31">
        <f t="shared" si="3"/>
        <v>83550.27999997139</v>
      </c>
      <c r="P31" s="31">
        <v>218323856.75999999</v>
      </c>
    </row>
    <row r="32" spans="1:16" x14ac:dyDescent="0.35">
      <c r="A32" s="44" t="str">
        <f xml:space="preserve"> _xll.EPMOlapMemberO("[PRODUCT].[PARENTH1].[XFV]","","Dulera","","000")</f>
        <v>Dulera</v>
      </c>
      <c r="B32" s="31">
        <v>154472746.52000001</v>
      </c>
      <c r="E32" s="31">
        <v>34674126.799999997</v>
      </c>
      <c r="F32" s="31">
        <v>915930.6</v>
      </c>
      <c r="G32" s="31">
        <f t="shared" si="2"/>
        <v>0</v>
      </c>
      <c r="H32" s="31">
        <v>190062803.91999999</v>
      </c>
      <c r="J32" s="31">
        <v>188234214.87</v>
      </c>
      <c r="M32" s="31">
        <v>33706246.670000002</v>
      </c>
      <c r="N32" s="31">
        <v>537093.15</v>
      </c>
      <c r="O32" s="31">
        <f t="shared" si="3"/>
        <v>20.369999974966049</v>
      </c>
      <c r="P32" s="31">
        <v>222477575.06</v>
      </c>
    </row>
    <row r="33" spans="1:17" x14ac:dyDescent="0.35">
      <c r="A33" s="44" t="str">
        <f xml:space="preserve"> _xll.EPMOlapMemberO("[PRODUCT].[PARENTH1].[CLARINEX_AERIUS]","","Clarinex_Aerius","","000")</f>
        <v>Clarinex_Aerius</v>
      </c>
      <c r="B33" s="31">
        <v>5628363.0099999998</v>
      </c>
      <c r="C33" s="31">
        <v>25156811.550000001</v>
      </c>
      <c r="D33" s="31">
        <v>140916.85999999999</v>
      </c>
      <c r="E33" s="31">
        <v>54974899.009999998</v>
      </c>
      <c r="F33" s="31">
        <v>25450354.579999998</v>
      </c>
      <c r="G33" s="31">
        <f t="shared" si="2"/>
        <v>0</v>
      </c>
      <c r="H33" s="31">
        <v>111351345.01000001</v>
      </c>
      <c r="J33" s="31">
        <v>6958371.4500000002</v>
      </c>
      <c r="K33" s="31">
        <v>36311719.850000001</v>
      </c>
      <c r="L33" s="31">
        <v>377253.7</v>
      </c>
      <c r="M33" s="31">
        <v>57733331.579999998</v>
      </c>
      <c r="N33" s="31">
        <v>28720573.050000001</v>
      </c>
      <c r="O33" s="31">
        <f t="shared" si="3"/>
        <v>104.19999998807907</v>
      </c>
      <c r="P33" s="31">
        <v>130101353.83</v>
      </c>
    </row>
    <row r="34" spans="1:17" x14ac:dyDescent="0.35">
      <c r="A34" s="44" t="str">
        <f xml:space="preserve"> _xll.EPMOlapMemberO("[PRODUCT].[PARENTH1].[XAF]","","Asmanex","","000")</f>
        <v>Asmanex</v>
      </c>
      <c r="B34" s="31">
        <v>56872145.310000002</v>
      </c>
      <c r="C34" s="31">
        <v>2002892.08</v>
      </c>
      <c r="E34" s="31">
        <v>4370219.72</v>
      </c>
      <c r="F34" s="31">
        <v>-8626.08</v>
      </c>
      <c r="G34" s="31">
        <f t="shared" si="2"/>
        <v>200808</v>
      </c>
      <c r="H34" s="31">
        <v>63437439.030000001</v>
      </c>
      <c r="J34" s="31">
        <v>75610082.280000001</v>
      </c>
      <c r="K34" s="31">
        <v>2438662.44</v>
      </c>
      <c r="M34" s="31">
        <v>4740123.18</v>
      </c>
      <c r="N34" s="31">
        <v>362351.72</v>
      </c>
      <c r="O34" s="31">
        <f t="shared" si="3"/>
        <v>250807.32999999821</v>
      </c>
      <c r="P34" s="31">
        <v>83402026.950000003</v>
      </c>
    </row>
    <row r="35" spans="1:17" x14ac:dyDescent="0.35">
      <c r="A35" s="33" t="s">
        <v>58</v>
      </c>
      <c r="B35" s="31">
        <f>(B36-SUM(B30:B34))</f>
        <v>-728794.55000001192</v>
      </c>
      <c r="C35" s="31">
        <f>(C36-SUM(C30:C34))</f>
        <v>18093369.090000004</v>
      </c>
      <c r="D35" s="31">
        <f>(D36-SUM(D30:D34))</f>
        <v>0</v>
      </c>
      <c r="E35" s="31">
        <f>(E36-SUM(E30:E34))</f>
        <v>1708290.5699999928</v>
      </c>
      <c r="F35" s="31">
        <f>(F36-SUM(F30:F34))</f>
        <v>6093791.7400000244</v>
      </c>
      <c r="G35" s="31">
        <f t="shared" si="2"/>
        <v>0</v>
      </c>
      <c r="H35" s="31">
        <f>(H36-SUM(H30:H34))</f>
        <v>25166656.850000024</v>
      </c>
      <c r="J35" s="31">
        <f>(J36-SUM(J30:J34))</f>
        <v>3075576.9800000191</v>
      </c>
      <c r="K35" s="31">
        <f>(K36-SUM(K30:K34))</f>
        <v>24734648.680000007</v>
      </c>
      <c r="L35" s="31">
        <f>(L36-SUM(L30:L34))</f>
        <v>2.9802322387695313E-8</v>
      </c>
      <c r="M35" s="31">
        <f>(M36-SUM(M30:M34))</f>
        <v>1751464.9699999988</v>
      </c>
      <c r="N35" s="31">
        <f>(N36-SUM(N30:N34))</f>
        <v>5153400.7999999821</v>
      </c>
      <c r="O35" s="31">
        <f t="shared" si="3"/>
        <v>-1.5899998843669891</v>
      </c>
      <c r="P35" s="31">
        <f>(P36-SUM(P30:P34))</f>
        <v>34715089.840000153</v>
      </c>
    </row>
    <row r="36" spans="1:17" s="36" customFormat="1" x14ac:dyDescent="0.35">
      <c r="A36" s="48" t="str">
        <f xml:space="preserve"> _xll.EPMOlapMemberO("[PRODUCT].[PARENTH1].[LEGACY_RESP]","","Established Respiratory","","000")</f>
        <v>Established Respiratory</v>
      </c>
      <c r="B36" s="35">
        <v>235735552.63999999</v>
      </c>
      <c r="C36" s="35">
        <v>224276922.18000001</v>
      </c>
      <c r="D36" s="35">
        <v>209417633.05000001</v>
      </c>
      <c r="E36" s="35">
        <v>204335973.66999999</v>
      </c>
      <c r="F36" s="35">
        <v>133512983.79000001</v>
      </c>
      <c r="G36" s="35">
        <f t="shared" si="2"/>
        <v>1307571.5800000429</v>
      </c>
      <c r="H36" s="35">
        <v>1008586636.91</v>
      </c>
      <c r="I36" s="35"/>
      <c r="J36" s="35">
        <v>303815470.04000002</v>
      </c>
      <c r="K36" s="35">
        <v>295012095.06</v>
      </c>
      <c r="L36" s="35">
        <v>193063217.72999999</v>
      </c>
      <c r="M36" s="35">
        <v>212506139.58000001</v>
      </c>
      <c r="N36" s="35">
        <v>146103581.75</v>
      </c>
      <c r="O36" s="35">
        <f t="shared" si="3"/>
        <v>334519.23000001907</v>
      </c>
      <c r="P36" s="35">
        <v>1150835023.3900001</v>
      </c>
    </row>
    <row r="37" spans="1:17" x14ac:dyDescent="0.35">
      <c r="A37" s="43" t="str">
        <f xml:space="preserve"> _xll.EPMOlapMemberO("[PRODUCT].[PARENTH1].[ARCOXIA]","","Arcoxia Products","","000")</f>
        <v>Arcoxia Products</v>
      </c>
      <c r="B37" s="31">
        <v>-150</v>
      </c>
      <c r="C37" s="31">
        <v>46168581.210000001</v>
      </c>
      <c r="D37" s="31">
        <v>40776814.799999997</v>
      </c>
      <c r="E37" s="31">
        <v>66561829.049999997</v>
      </c>
      <c r="F37" s="31">
        <v>90351973.980000004</v>
      </c>
      <c r="G37" s="31">
        <f t="shared" si="2"/>
        <v>0</v>
      </c>
      <c r="H37" s="31">
        <v>243859049.03999999</v>
      </c>
      <c r="K37" s="31">
        <v>57922512.710000001</v>
      </c>
      <c r="L37" s="31">
        <v>49047895.25</v>
      </c>
      <c r="M37" s="31">
        <v>61186555.810000002</v>
      </c>
      <c r="N37" s="31">
        <v>89534282.459999993</v>
      </c>
      <c r="O37" s="31">
        <f t="shared" si="3"/>
        <v>-98.750000029802322</v>
      </c>
      <c r="P37" s="31">
        <v>257691147.47999999</v>
      </c>
    </row>
    <row r="38" spans="1:17" x14ac:dyDescent="0.35">
      <c r="A38" s="43" t="str">
        <f xml:space="preserve"> _xll.EPMOlapMemberO("[PRODUCT].[PARENTH1].[FOSOMAXPROD]","","Fosamax Products","","000")</f>
        <v>Fosamax Products</v>
      </c>
      <c r="B38" s="31">
        <v>3546956.94</v>
      </c>
      <c r="C38" s="31">
        <v>45806951.240000002</v>
      </c>
      <c r="D38" s="31">
        <v>66661174.479999997</v>
      </c>
      <c r="E38" s="31">
        <v>42358751.060000002</v>
      </c>
      <c r="F38" s="31">
        <v>17032969.710000001</v>
      </c>
      <c r="G38" s="31">
        <f t="shared" si="2"/>
        <v>0</v>
      </c>
      <c r="H38" s="31">
        <v>175406803.43000001</v>
      </c>
      <c r="J38" s="31">
        <v>3732002.97</v>
      </c>
      <c r="K38" s="31">
        <v>61282443.759999998</v>
      </c>
      <c r="L38" s="31">
        <v>54184843.409999996</v>
      </c>
      <c r="M38" s="31">
        <v>43469900.520000003</v>
      </c>
      <c r="N38" s="31">
        <v>16920977.530000001</v>
      </c>
      <c r="O38" s="31">
        <f t="shared" si="3"/>
        <v>66.780000001192093</v>
      </c>
      <c r="P38" s="31">
        <v>179590234.97</v>
      </c>
    </row>
    <row r="39" spans="1:17" x14ac:dyDescent="0.35">
      <c r="A39" s="47" t="str">
        <f xml:space="preserve"> _xll.EPMOlapMemberO("[PRODUCT].[PARENTH1].[XDP]","","Diprospan","","000")</f>
        <v>Diprospan</v>
      </c>
      <c r="C39" s="31">
        <v>2909552.55</v>
      </c>
      <c r="D39" s="31">
        <v>26402459.07</v>
      </c>
      <c r="E39" s="31">
        <v>24666101.059999999</v>
      </c>
      <c r="F39" s="31">
        <v>71046591.170000002</v>
      </c>
      <c r="G39" s="31">
        <f t="shared" si="2"/>
        <v>0</v>
      </c>
      <c r="H39" s="31">
        <v>125024703.84999999</v>
      </c>
      <c r="K39" s="31">
        <v>3895265.36</v>
      </c>
      <c r="L39" s="31">
        <v>21042279.75</v>
      </c>
      <c r="M39" s="31">
        <v>22722180.18</v>
      </c>
      <c r="N39" s="31">
        <v>70480857.469999999</v>
      </c>
      <c r="O39" s="31">
        <f t="shared" si="3"/>
        <v>55.050000011920929</v>
      </c>
      <c r="P39" s="31">
        <v>118140637.81</v>
      </c>
    </row>
    <row r="40" spans="1:17" x14ac:dyDescent="0.35">
      <c r="A40" s="43" t="str">
        <f xml:space="preserve"> _xll.EPMOlapMemberO("[PRODUCT].[PARENTH1].[XDI]","","Diprosone","","000")</f>
        <v>Diprosone</v>
      </c>
      <c r="B40" s="31">
        <v>1392155.46</v>
      </c>
      <c r="C40" s="31">
        <v>23283768.579999998</v>
      </c>
      <c r="E40" s="31">
        <v>54136888.859999999</v>
      </c>
      <c r="F40" s="31">
        <v>8270464.9800000004</v>
      </c>
      <c r="G40" s="31">
        <f t="shared" si="2"/>
        <v>0</v>
      </c>
      <c r="H40" s="31">
        <v>87083277.879999995</v>
      </c>
      <c r="J40" s="31">
        <v>1141891.75</v>
      </c>
      <c r="K40" s="31">
        <v>21091516.280000001</v>
      </c>
      <c r="M40" s="31">
        <v>52332490.159999996</v>
      </c>
      <c r="N40" s="31">
        <v>8304588.8600000003</v>
      </c>
      <c r="O40" s="31">
        <f t="shared" si="3"/>
        <v>74.240000009536743</v>
      </c>
      <c r="P40" s="31">
        <v>82870561.290000007</v>
      </c>
    </row>
    <row r="41" spans="1:17" x14ac:dyDescent="0.35">
      <c r="A41" s="34" t="s">
        <v>59</v>
      </c>
      <c r="B41" s="31">
        <f>(B42-SUM(B37:B40))</f>
        <v>15403461.060000001</v>
      </c>
      <c r="C41" s="31">
        <f>(C42-SUM(C37:C40))</f>
        <v>29987635.796793714</v>
      </c>
      <c r="D41" s="31">
        <f>(D42-SUM(D37:D40))</f>
        <v>0</v>
      </c>
      <c r="E41" s="31">
        <f>(E42-SUM(E37:E40))</f>
        <v>109014103.24999997</v>
      </c>
      <c r="F41" s="31">
        <f>(F42-SUM(F37:F40))</f>
        <v>44189109.789999992</v>
      </c>
      <c r="G41" s="31">
        <f t="shared" si="2"/>
        <v>0</v>
      </c>
      <c r="H41" s="31">
        <f>(H42-SUM(H37:H40))</f>
        <v>198594309.8967936</v>
      </c>
      <c r="J41" s="31">
        <f>(J42-SUM(J37:J40))</f>
        <v>9147756.8699999992</v>
      </c>
      <c r="K41" s="31">
        <f>(K42-SUM(K37:K40))</f>
        <v>30159255.099999994</v>
      </c>
      <c r="L41" s="31">
        <f>(L42-SUM(L37:L40))</f>
        <v>0</v>
      </c>
      <c r="M41" s="31">
        <f>(M42-SUM(M37:M40))</f>
        <v>107533686.06</v>
      </c>
      <c r="N41" s="31">
        <f>(N42-SUM(N37:N40))</f>
        <v>47907626.800000012</v>
      </c>
      <c r="O41" s="31">
        <f t="shared" si="3"/>
        <v>169.24000003933907</v>
      </c>
      <c r="P41" s="31">
        <f>(P42-SUM(P37:P40))</f>
        <v>194748494.07000005</v>
      </c>
      <c r="Q41" s="31">
        <f t="shared" ref="Q41" si="5">Q42-SUM(Q37:Q40)</f>
        <v>0</v>
      </c>
    </row>
    <row r="42" spans="1:17" s="36" customFormat="1" x14ac:dyDescent="0.35">
      <c r="A42" s="48" t="str">
        <f xml:space="preserve"> _xll.EPMOlapMemberO("[PRODUCT].[PARENTH1].[LEGACY_PAIN_BONE_DERM]","","Established Pain, Bone and Derm","","000")</f>
        <v>Established Pain, Bone and Derm</v>
      </c>
      <c r="B42" s="35">
        <v>20342423.460000001</v>
      </c>
      <c r="C42" s="35">
        <v>148156489.37679371</v>
      </c>
      <c r="D42" s="35">
        <v>133840448.34999999</v>
      </c>
      <c r="E42" s="35">
        <v>296737673.27999997</v>
      </c>
      <c r="F42" s="35">
        <v>230891109.63</v>
      </c>
      <c r="G42" s="35">
        <f t="shared" si="2"/>
        <v>0</v>
      </c>
      <c r="H42" s="35">
        <v>829968144.09679365</v>
      </c>
      <c r="I42" s="35"/>
      <c r="J42" s="35">
        <v>14021651.59</v>
      </c>
      <c r="K42" s="35">
        <v>174350993.21000001</v>
      </c>
      <c r="L42" s="35">
        <v>124275018.41</v>
      </c>
      <c r="M42" s="35">
        <v>287244812.73000002</v>
      </c>
      <c r="N42" s="35">
        <v>233148333.12</v>
      </c>
      <c r="O42" s="35">
        <f t="shared" si="3"/>
        <v>266.55999994277954</v>
      </c>
      <c r="P42" s="35">
        <v>833041075.62</v>
      </c>
    </row>
    <row r="43" spans="1:17" x14ac:dyDescent="0.35">
      <c r="A43" s="47" t="str">
        <f xml:space="preserve"> _xll.EPMOlapMemberO("[PRODUCT].[PARENTH1].[PROSCARPROD]","","Proscar Products","","000")</f>
        <v>Proscar Products</v>
      </c>
      <c r="B43" s="31">
        <v>1359440.4</v>
      </c>
      <c r="C43" s="31">
        <v>14960587.210000001</v>
      </c>
      <c r="D43" s="31">
        <v>85781313.290000007</v>
      </c>
      <c r="E43" s="31">
        <v>11819194.59</v>
      </c>
      <c r="F43" s="31">
        <v>3578182.52</v>
      </c>
      <c r="G43" s="31">
        <f t="shared" si="2"/>
        <v>0</v>
      </c>
      <c r="H43" s="31">
        <v>117498718.01000001</v>
      </c>
      <c r="J43" s="31">
        <v>1680107.87</v>
      </c>
      <c r="K43" s="31">
        <v>18268184.609999999</v>
      </c>
      <c r="L43" s="31">
        <v>139491866.27000001</v>
      </c>
      <c r="M43" s="31">
        <v>13173600.310000001</v>
      </c>
      <c r="N43" s="31">
        <v>3144414.15</v>
      </c>
      <c r="O43" s="31">
        <f t="shared" si="3"/>
        <v>43.03999999165535</v>
      </c>
      <c r="P43" s="31">
        <v>175758216.25</v>
      </c>
    </row>
    <row r="44" spans="1:17" x14ac:dyDescent="0.35">
      <c r="A44" s="47" t="str">
        <f xml:space="preserve"> _xll.EPMOlapMemberO("[PRODUCT].[PARENTH1].[PROPECIAPROD]","","Propecia Products","","000")</f>
        <v>Propecia Products</v>
      </c>
      <c r="B44" s="31">
        <v>9377888.1999999993</v>
      </c>
      <c r="C44" s="31">
        <v>65135198.939999998</v>
      </c>
      <c r="D44" s="31">
        <v>45011956.659999996</v>
      </c>
      <c r="E44" s="31">
        <v>12968415.449999999</v>
      </c>
      <c r="F44" s="31">
        <v>3846974.97</v>
      </c>
      <c r="G44" s="31">
        <f t="shared" si="2"/>
        <v>0</v>
      </c>
      <c r="H44" s="31">
        <v>136340434.22</v>
      </c>
      <c r="J44" s="31">
        <v>9893567.2599999998</v>
      </c>
      <c r="K44" s="31">
        <v>71035560.269999996</v>
      </c>
      <c r="L44" s="31">
        <v>31862259.32</v>
      </c>
      <c r="M44" s="31">
        <v>13151888.800000001</v>
      </c>
      <c r="N44" s="31">
        <v>3307626.75</v>
      </c>
      <c r="O44" s="31">
        <f t="shared" si="3"/>
        <v>38.000000014901161</v>
      </c>
      <c r="P44" s="31">
        <v>129250940.40000001</v>
      </c>
    </row>
    <row r="45" spans="1:17" x14ac:dyDescent="0.35">
      <c r="A45" s="43" t="str">
        <f xml:space="preserve"> _xll.EPMOlapMemberO("[PRODUCT].[PARENTH1].[SINEMETPROD]","","Sinemet Products","","000")</f>
        <v>Sinemet Products</v>
      </c>
      <c r="B45" s="31">
        <v>415188.05</v>
      </c>
      <c r="C45" s="31">
        <v>13496005.34</v>
      </c>
      <c r="D45" s="31">
        <v>1056041.51</v>
      </c>
      <c r="E45" s="31">
        <v>53542249.009999998</v>
      </c>
      <c r="F45" s="31">
        <v>2883826.4</v>
      </c>
      <c r="G45" s="31">
        <f t="shared" si="2"/>
        <v>0</v>
      </c>
      <c r="H45" s="31">
        <v>71393310.310000002</v>
      </c>
      <c r="J45" s="31">
        <v>-575950.28</v>
      </c>
      <c r="K45" s="31">
        <v>15122826.810000001</v>
      </c>
      <c r="L45" s="31">
        <v>3532384.06</v>
      </c>
      <c r="M45" s="31">
        <v>54890588.57</v>
      </c>
      <c r="N45" s="31">
        <v>4322240.5999999996</v>
      </c>
      <c r="O45" s="31">
        <f t="shared" si="3"/>
        <v>35.700000002980232</v>
      </c>
      <c r="P45" s="31">
        <v>77292125.459999993</v>
      </c>
    </row>
    <row r="46" spans="1:17" x14ac:dyDescent="0.35">
      <c r="A46" s="43" t="str">
        <f xml:space="preserve"> _xll.EPMOlapMemberO("[PRODUCT].[PARENTH1].[XRE]","","Remeron","","000")</f>
        <v>Remeron</v>
      </c>
      <c r="B46" s="31">
        <v>3198035.22</v>
      </c>
      <c r="C46" s="31">
        <v>15728368.939999999</v>
      </c>
      <c r="D46" s="31">
        <v>18745266.34</v>
      </c>
      <c r="E46" s="31">
        <v>20044235.559999999</v>
      </c>
      <c r="F46" s="31">
        <v>7836617.3700000001</v>
      </c>
      <c r="G46" s="31">
        <f t="shared" si="2"/>
        <v>0</v>
      </c>
      <c r="H46" s="31">
        <v>65552523.43</v>
      </c>
      <c r="J46" s="31">
        <v>2137239.1800000002</v>
      </c>
      <c r="K46" s="31">
        <v>18358173.390000001</v>
      </c>
      <c r="L46" s="31">
        <v>14734541.98</v>
      </c>
      <c r="M46" s="31">
        <v>20624161.920000002</v>
      </c>
      <c r="N46" s="31">
        <v>7731504.5899999999</v>
      </c>
      <c r="O46" s="31">
        <f t="shared" si="3"/>
        <v>49.099999994039536</v>
      </c>
      <c r="P46" s="31">
        <v>63585670.159999996</v>
      </c>
    </row>
    <row r="47" spans="1:17" x14ac:dyDescent="0.35">
      <c r="A47" s="34" t="s">
        <v>2</v>
      </c>
      <c r="B47" s="31">
        <f>(B48-SUM(B43:B46))</f>
        <v>37342172.170000002</v>
      </c>
      <c r="C47" s="31">
        <f>(C48-SUM(C43:C46))</f>
        <v>38889008.733028889</v>
      </c>
      <c r="D47" s="31">
        <f>(D48-SUM(D43:D46))</f>
        <v>6108611.8599999845</v>
      </c>
      <c r="E47" s="31">
        <f>(E48-SUM(E43:E46))</f>
        <v>122916261.45999999</v>
      </c>
      <c r="F47" s="31">
        <f>(F48-SUM(F43:F46))</f>
        <v>17936986.499999996</v>
      </c>
      <c r="G47" s="31">
        <f t="shared" si="2"/>
        <v>-446652.84000000358</v>
      </c>
      <c r="H47" s="31">
        <f>(H48-SUM(H43:H46))</f>
        <v>222746387.88302886</v>
      </c>
      <c r="J47" s="31">
        <f>(J48-SUM(J43:J46))</f>
        <v>52712419.509999998</v>
      </c>
      <c r="K47" s="31">
        <f>(K48-SUM(K43:K46))</f>
        <v>52104684.700000003</v>
      </c>
      <c r="L47" s="31">
        <f>(L48-SUM(L43:L46))</f>
        <v>4154334.9399999976</v>
      </c>
      <c r="M47" s="31">
        <f>(M48-SUM(M43:M46))</f>
        <v>107653704.45</v>
      </c>
      <c r="N47" s="31">
        <f>(N48-SUM(N43:N46))</f>
        <v>16128549.41</v>
      </c>
      <c r="O47" s="31">
        <f t="shared" si="3"/>
        <v>4559547.0600000322</v>
      </c>
      <c r="P47" s="31">
        <f>(P48-SUM(P43:P46))</f>
        <v>237313240.07000005</v>
      </c>
    </row>
    <row r="48" spans="1:17" s="36" customFormat="1" x14ac:dyDescent="0.35">
      <c r="A48" s="48" t="str">
        <f xml:space="preserve"> _xll.EPMOlapMemberO("[PRODUCT].[PARENTH1].[LEGACY_OTHER]","","Established Other","","000")</f>
        <v>Established Other</v>
      </c>
      <c r="B48" s="35">
        <v>51692724.039999999</v>
      </c>
      <c r="C48" s="35">
        <v>148209169.1630289</v>
      </c>
      <c r="D48" s="35">
        <v>156703189.66</v>
      </c>
      <c r="E48" s="35">
        <v>221290356.06999999</v>
      </c>
      <c r="F48" s="35">
        <v>36082587.759999998</v>
      </c>
      <c r="G48" s="35">
        <f t="shared" si="2"/>
        <v>-446652.84000003338</v>
      </c>
      <c r="H48" s="35">
        <v>613531373.85302889</v>
      </c>
      <c r="I48" s="35"/>
      <c r="J48" s="35">
        <v>65847383.539999999</v>
      </c>
      <c r="K48" s="35">
        <v>174889429.78</v>
      </c>
      <c r="L48" s="35">
        <v>193775386.56999999</v>
      </c>
      <c r="M48" s="35">
        <v>209493944.05000001</v>
      </c>
      <c r="N48" s="35">
        <v>34634335.5</v>
      </c>
      <c r="O48" s="35">
        <f t="shared" si="3"/>
        <v>4559712.8999999762</v>
      </c>
      <c r="P48" s="35">
        <v>683200192.34000003</v>
      </c>
    </row>
    <row r="49" spans="1:16" x14ac:dyDescent="0.35">
      <c r="A49" s="34"/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f t="shared" si="2"/>
        <v>0</v>
      </c>
      <c r="H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f t="shared" si="3"/>
        <v>0</v>
      </c>
      <c r="P49" s="31">
        <v>0</v>
      </c>
    </row>
    <row r="50" spans="1:16" s="36" customFormat="1" x14ac:dyDescent="0.35">
      <c r="A50" s="50" t="str">
        <f xml:space="preserve"> _xll.EPMOlapMemberO("[PRODUCT].[PARENTH1].[XXX]","","Not Product Specific","","000")</f>
        <v>Not Product Specific</v>
      </c>
      <c r="B50" s="35">
        <v>-4522373.9800000004</v>
      </c>
      <c r="C50" s="35">
        <v>664.72</v>
      </c>
      <c r="D50" s="35">
        <v>-0.02</v>
      </c>
      <c r="E50" s="35">
        <v>-26226131.850000001</v>
      </c>
      <c r="F50" s="35">
        <v>-1716616.36</v>
      </c>
      <c r="G50" s="35">
        <f t="shared" si="2"/>
        <v>233307528.76337171</v>
      </c>
      <c r="H50" s="35">
        <v>200843071.2733717</v>
      </c>
      <c r="I50" s="35"/>
      <c r="J50" s="35">
        <v>3795152.63</v>
      </c>
      <c r="K50" s="35">
        <v>1025875.22</v>
      </c>
      <c r="L50" s="35"/>
      <c r="M50" s="35">
        <v>-25219081.859999999</v>
      </c>
      <c r="N50" s="35">
        <v>-272499.83</v>
      </c>
      <c r="O50" s="35">
        <f t="shared" si="3"/>
        <v>128140755.19999999</v>
      </c>
      <c r="P50" s="35">
        <v>107470201.36</v>
      </c>
    </row>
    <row r="51" spans="1:16" s="36" customFormat="1" hidden="1" x14ac:dyDescent="0.35">
      <c r="A51" s="50" t="str">
        <f xml:space="preserve"> _xll.EPMOlapMemberO("[PRODUCT].[PARENTH1].[TBA]","","To be Allocated","","000")</f>
        <v>To be Allocated</v>
      </c>
      <c r="B51" s="35"/>
      <c r="C51" s="35"/>
      <c r="D51" s="35"/>
      <c r="E51" s="35"/>
      <c r="F51" s="35"/>
      <c r="G51" s="35">
        <f t="shared" si="2"/>
        <v>0</v>
      </c>
      <c r="H51" s="35"/>
      <c r="I51" s="35"/>
      <c r="J51" s="35"/>
      <c r="K51" s="35"/>
      <c r="L51" s="35"/>
      <c r="M51" s="35"/>
      <c r="N51" s="35"/>
      <c r="O51" s="35">
        <f t="shared" si="3"/>
        <v>0</v>
      </c>
      <c r="P51" s="35"/>
    </row>
    <row r="52" spans="1:16" s="36" customFormat="1" x14ac:dyDescent="0.35">
      <c r="A52" s="50" t="str">
        <f xml:space="preserve"> _xll.EPMOlapMemberO("[PRODUCT].[PARENTH1].[MRK_TOT]","","Merck Products","","000")</f>
        <v>Merck Products</v>
      </c>
      <c r="B52" s="35"/>
      <c r="C52" s="35">
        <v>-21079.332268099999</v>
      </c>
      <c r="D52" s="35"/>
      <c r="E52" s="35">
        <v>-33282.080000000002</v>
      </c>
      <c r="F52" s="35">
        <v>87391.63</v>
      </c>
      <c r="G52" s="35">
        <f t="shared" si="2"/>
        <v>0</v>
      </c>
      <c r="H52" s="35">
        <v>33030.217731899997</v>
      </c>
      <c r="I52" s="35"/>
      <c r="J52" s="35"/>
      <c r="K52" s="35"/>
      <c r="L52" s="35"/>
      <c r="M52" s="35"/>
      <c r="N52" s="35"/>
      <c r="O52" s="35">
        <f t="shared" si="3"/>
        <v>0</v>
      </c>
      <c r="P52" s="35"/>
    </row>
    <row r="53" spans="1:16" s="36" customFormat="1" x14ac:dyDescent="0.35">
      <c r="A53" s="41" t="str">
        <f xml:space="preserve"> _xll.EPMOlapMemberO("[PRODUCT].[PARENTH1].[PRODUCT]","","Total NewCo Products","","000")</f>
        <v>Total NewCo Products</v>
      </c>
      <c r="B53" s="35">
        <v>1382615207.29</v>
      </c>
      <c r="C53" s="35">
        <v>1172668793.4590423</v>
      </c>
      <c r="D53" s="35">
        <v>932876748.65999997</v>
      </c>
      <c r="E53" s="35">
        <v>1741211283.3399999</v>
      </c>
      <c r="F53" s="35">
        <v>840654373.30999994</v>
      </c>
      <c r="G53" s="35">
        <f t="shared" si="2"/>
        <v>234354072.07337284</v>
      </c>
      <c r="H53" s="35">
        <v>6304380478.1324148</v>
      </c>
      <c r="I53" s="35"/>
      <c r="J53" s="35">
        <v>1408299409.02</v>
      </c>
      <c r="K53" s="35">
        <v>1535088572.28</v>
      </c>
      <c r="L53" s="35">
        <v>872992601.85000002</v>
      </c>
      <c r="M53" s="35">
        <v>1725998030.04</v>
      </c>
      <c r="N53" s="35">
        <v>857141449.44000006</v>
      </c>
      <c r="O53" s="35">
        <f t="shared" si="3"/>
        <v>132920734.29999924</v>
      </c>
      <c r="P53" s="35">
        <v>6532440796.9300003</v>
      </c>
    </row>
    <row r="54" spans="1:16" x14ac:dyDescent="0.35">
      <c r="A54" s="34"/>
    </row>
    <row r="55" spans="1:16" x14ac:dyDescent="0.35">
      <c r="A55" s="34"/>
    </row>
    <row r="56" spans="1:16" hidden="1" x14ac:dyDescent="0.35">
      <c r="A56" s="43" t="str">
        <f xml:space="preserve"> _xll.EPMOlapMemberO("[PRODUCT].[PARENTH1].[BGW]","","Nuvaring AG","","000")</f>
        <v>Nuvaring AG</v>
      </c>
      <c r="B56" s="31">
        <v>73439595.760000005</v>
      </c>
      <c r="G56" s="31">
        <f t="shared" si="2"/>
        <v>0</v>
      </c>
      <c r="H56" s="31">
        <v>73439595.760000005</v>
      </c>
      <c r="J56" s="31">
        <v>148268164.05000001</v>
      </c>
      <c r="O56" s="31">
        <v>0</v>
      </c>
      <c r="P56" s="31">
        <v>148268163.84999999</v>
      </c>
    </row>
    <row r="57" spans="1:16" hidden="1" x14ac:dyDescent="0.35">
      <c r="A57" s="43" t="str">
        <f xml:space="preserve"> _xll.EPMOlapMemberO("[PRODUCT].[PARENTH1].[MERCILON]","","Mercilon Products","","000")</f>
        <v>Mercilon Products</v>
      </c>
      <c r="C57" s="31">
        <v>13817393.189999999</v>
      </c>
      <c r="E57" s="31">
        <v>10414593.25</v>
      </c>
      <c r="F57" s="31">
        <v>16675122.15</v>
      </c>
      <c r="G57" s="31">
        <f t="shared" si="2"/>
        <v>0</v>
      </c>
      <c r="H57" s="31">
        <v>40907108.590000004</v>
      </c>
      <c r="K57" s="31">
        <v>15146300.210000001</v>
      </c>
      <c r="M57" s="31">
        <v>10777861.33</v>
      </c>
      <c r="N57" s="31">
        <v>13565340.140000001</v>
      </c>
      <c r="O57" s="31">
        <v>0</v>
      </c>
      <c r="P57" s="31">
        <v>39489517.609999999</v>
      </c>
    </row>
    <row r="58" spans="1:16" hidden="1" x14ac:dyDescent="0.35">
      <c r="A58" s="43" t="str">
        <f xml:space="preserve"> _xll.EPMOlapMemberO("[PRODUCT].[PARENTH1].[XMA]","","Marvelon Desogen","","000")</f>
        <v>Marvelon Desogen</v>
      </c>
      <c r="C58" s="31">
        <v>28667584.149999999</v>
      </c>
      <c r="E58" s="31">
        <v>12681938.15</v>
      </c>
      <c r="F58" s="31">
        <v>15944258.48</v>
      </c>
      <c r="G58" s="31">
        <f t="shared" si="2"/>
        <v>0</v>
      </c>
      <c r="H58" s="31">
        <v>57293780.780000001</v>
      </c>
      <c r="K58" s="31">
        <v>25945725.420000002</v>
      </c>
      <c r="M58" s="31">
        <v>13545366.48</v>
      </c>
      <c r="N58" s="31">
        <v>15946104.91</v>
      </c>
      <c r="O58" s="31">
        <v>0</v>
      </c>
      <c r="P58" s="31">
        <v>55437227.979999997</v>
      </c>
    </row>
    <row r="59" spans="1:16" hidden="1" x14ac:dyDescent="0.35">
      <c r="A59" s="43" t="str">
        <f xml:space="preserve"> _xll.EPMOlapMemberO("[PRODUCT].[PARENTH1].[XCE]","","Cerazette","","000")</f>
        <v>Cerazette</v>
      </c>
      <c r="C59" s="31">
        <v>2043367.59</v>
      </c>
      <c r="E59" s="31">
        <v>45483352.240000002</v>
      </c>
      <c r="F59" s="31">
        <v>22830955.18</v>
      </c>
      <c r="G59" s="31">
        <f t="shared" si="2"/>
        <v>0</v>
      </c>
      <c r="H59" s="31">
        <v>70357675.010000005</v>
      </c>
      <c r="K59" s="31">
        <v>1877411.57</v>
      </c>
      <c r="M59" s="31">
        <v>44011624.579999998</v>
      </c>
      <c r="N59" s="31">
        <v>21207679.059999999</v>
      </c>
      <c r="O59" s="31">
        <v>0</v>
      </c>
      <c r="P59" s="31">
        <v>67096756.289999999</v>
      </c>
    </row>
    <row r="60" spans="1:16" hidden="1" x14ac:dyDescent="0.35">
      <c r="A60" s="43" t="str">
        <f xml:space="preserve"> _xll.EPMOlapMemberO("[PRODUCT].[PARENTH1].[XQQ]","","Desogestrel-Ethinylestradiol","","000")</f>
        <v>Desogestrel-Ethinylestradiol</v>
      </c>
      <c r="F60" s="31">
        <v>1938243.57</v>
      </c>
      <c r="G60" s="31">
        <f t="shared" si="2"/>
        <v>0</v>
      </c>
      <c r="H60" s="31">
        <v>1938243.57</v>
      </c>
      <c r="N60" s="31">
        <v>1265844.76</v>
      </c>
      <c r="O60" s="31">
        <v>0</v>
      </c>
      <c r="P60" s="31">
        <v>1265843.8999999999</v>
      </c>
    </row>
    <row r="61" spans="1:16" hidden="1" x14ac:dyDescent="0.35">
      <c r="A61" s="43" t="str">
        <f xml:space="preserve"> _xll.EPMOlapMemberO("[PRODUCT].[PARENTH1].[XLL]","","Exluton","","000")</f>
        <v>Exluton</v>
      </c>
      <c r="C61" s="31">
        <v>3496633.34</v>
      </c>
      <c r="E61" s="31">
        <v>1894121.69</v>
      </c>
      <c r="F61" s="31">
        <v>749066.05</v>
      </c>
      <c r="G61" s="31">
        <f t="shared" si="2"/>
        <v>0</v>
      </c>
      <c r="H61" s="31">
        <v>6139821.0800000001</v>
      </c>
      <c r="K61" s="31">
        <v>4092620.76</v>
      </c>
      <c r="M61" s="31">
        <v>1269389.3999999999</v>
      </c>
      <c r="N61" s="31">
        <v>3146944.93</v>
      </c>
      <c r="O61" s="31">
        <v>0</v>
      </c>
      <c r="P61" s="31">
        <v>8508957.8900000006</v>
      </c>
    </row>
    <row r="62" spans="1:16" hidden="1" x14ac:dyDescent="0.35">
      <c r="A62" s="44" t="str">
        <f xml:space="preserve"> _xll.EPMOlapMemberO("[PRODUCT].[PARENTH1].[CONTRACEPTIVE]","","Contraception","","000")</f>
        <v>Contraception</v>
      </c>
      <c r="B62" s="31">
        <v>690760304.60000002</v>
      </c>
      <c r="C62" s="31">
        <v>79869546.609999999</v>
      </c>
      <c r="D62" s="31">
        <v>392525.5</v>
      </c>
      <c r="E62" s="31">
        <v>234801539.61000001</v>
      </c>
      <c r="F62" s="31">
        <v>204497492.28999999</v>
      </c>
      <c r="G62" s="31">
        <f t="shared" si="2"/>
        <v>0</v>
      </c>
      <c r="H62" s="31">
        <v>1210321408.6099999</v>
      </c>
      <c r="J62" s="31">
        <v>746993779.42999995</v>
      </c>
      <c r="K62" s="31">
        <v>76624300.930000007</v>
      </c>
      <c r="L62" s="31">
        <v>364923.64</v>
      </c>
      <c r="M62" s="31">
        <v>233055619.22999999</v>
      </c>
      <c r="N62" s="31">
        <v>179270795</v>
      </c>
      <c r="O62" s="31">
        <v>0</v>
      </c>
      <c r="P62" s="31">
        <v>1236309596.3299999</v>
      </c>
    </row>
    <row r="63" spans="1:16" hidden="1" x14ac:dyDescent="0.35">
      <c r="A63" s="49" t="str">
        <f xml:space="preserve"> _xll.EPMOlapMemberO("[PRODUCT].[PARENTH1].[WOMENS_HEALTH_FRANCH]","","Women�s Health Franchise","","000")</f>
        <v>Women�s Health Franchise</v>
      </c>
      <c r="B63" s="31">
        <v>690760304.60000002</v>
      </c>
      <c r="C63" s="31">
        <v>79869546.609999999</v>
      </c>
      <c r="D63" s="31">
        <v>392525.5</v>
      </c>
      <c r="E63" s="31">
        <v>234801539.61000001</v>
      </c>
      <c r="F63" s="31">
        <v>204497492.28999999</v>
      </c>
      <c r="G63" s="31">
        <f t="shared" si="2"/>
        <v>0</v>
      </c>
      <c r="H63" s="31">
        <v>1210321408.6099999</v>
      </c>
      <c r="J63" s="31">
        <v>746993779.42999995</v>
      </c>
      <c r="K63" s="31">
        <v>76624300.930000007</v>
      </c>
      <c r="L63" s="31">
        <v>364923.64</v>
      </c>
      <c r="M63" s="31">
        <v>233055619.22999999</v>
      </c>
      <c r="N63" s="31">
        <v>179270795</v>
      </c>
      <c r="O63" s="31">
        <v>0</v>
      </c>
      <c r="P63" s="31">
        <v>1236309596.3299999</v>
      </c>
    </row>
    <row r="64" spans="1:16" hidden="1" x14ac:dyDescent="0.35">
      <c r="A64" s="44" t="str">
        <f xml:space="preserve"> _xll.EPMOlapMemberO("[PRODUCT].[PARENTH1].[XGL]","","Orgalutran","","000")</f>
        <v>Orgalutran</v>
      </c>
      <c r="B64" s="31">
        <v>22464856.73</v>
      </c>
      <c r="C64" s="31">
        <v>22205264.370000001</v>
      </c>
      <c r="D64" s="31">
        <v>20353537.199999999</v>
      </c>
      <c r="E64" s="31">
        <v>35773157.530000001</v>
      </c>
      <c r="F64" s="31">
        <v>9841539.8499999996</v>
      </c>
      <c r="G64" s="31">
        <f t="shared" si="2"/>
        <v>0</v>
      </c>
      <c r="H64" s="31">
        <v>110638355.68000001</v>
      </c>
      <c r="J64" s="31">
        <v>11441473.140000001</v>
      </c>
      <c r="K64" s="31">
        <v>21347596.93</v>
      </c>
      <c r="L64" s="31">
        <v>13991802.119999999</v>
      </c>
      <c r="M64" s="31">
        <v>26906201.530000001</v>
      </c>
      <c r="N64" s="31">
        <v>6865479.4699999997</v>
      </c>
      <c r="O64" s="31">
        <v>0</v>
      </c>
      <c r="P64" s="31">
        <v>80552599.120000005</v>
      </c>
    </row>
    <row r="65" spans="1:16" hidden="1" x14ac:dyDescent="0.35">
      <c r="A65" s="44" t="str">
        <f xml:space="preserve"> _xll.EPMOlapMemberO("[PRODUCT].[PARENTH1].[ELO]","","Elonva","","000")</f>
        <v>Elonva</v>
      </c>
      <c r="C65" s="31">
        <v>6435013.6100000003</v>
      </c>
      <c r="E65" s="31">
        <v>12515055.76</v>
      </c>
      <c r="F65" s="31">
        <v>7932409.8799999999</v>
      </c>
      <c r="G65" s="31">
        <f t="shared" si="2"/>
        <v>0</v>
      </c>
      <c r="H65" s="31">
        <v>26882479.25</v>
      </c>
      <c r="K65" s="31">
        <v>5201287.5</v>
      </c>
      <c r="M65" s="31">
        <v>10821374.189999999</v>
      </c>
      <c r="N65" s="31">
        <v>5128715.3499999996</v>
      </c>
      <c r="O65" s="31">
        <v>0</v>
      </c>
      <c r="P65" s="31">
        <v>21151411.449999999</v>
      </c>
    </row>
    <row r="66" spans="1:16" hidden="1" x14ac:dyDescent="0.35">
      <c r="A66" s="44" t="str">
        <f xml:space="preserve"> _xll.EPMOlapMemberO("[PRODUCT].[PARENTH1].[XPU]","","Follistim Puregon","","000")</f>
        <v>Follistim Puregon</v>
      </c>
      <c r="B66" s="31">
        <v>109955298.95999999</v>
      </c>
      <c r="C66" s="31">
        <v>22892504.531488001</v>
      </c>
      <c r="D66" s="31">
        <v>54287816.219999999</v>
      </c>
      <c r="E66" s="31">
        <v>42052669.82</v>
      </c>
      <c r="F66" s="31">
        <v>8124444.9699999997</v>
      </c>
      <c r="G66" s="31">
        <f t="shared" si="2"/>
        <v>0</v>
      </c>
      <c r="H66" s="31">
        <v>237312734.501488</v>
      </c>
      <c r="J66" s="31">
        <v>84294143.969999999</v>
      </c>
      <c r="K66" s="31">
        <v>22612881.010000002</v>
      </c>
      <c r="L66" s="31">
        <v>42242802.299999997</v>
      </c>
      <c r="M66" s="31">
        <v>38464352.859999999</v>
      </c>
      <c r="N66" s="31">
        <v>5050341.62</v>
      </c>
      <c r="O66" s="31">
        <v>0</v>
      </c>
      <c r="P66" s="31">
        <v>192664586.22</v>
      </c>
    </row>
    <row r="67" spans="1:16" hidden="1" x14ac:dyDescent="0.35">
      <c r="A67" s="44" t="str">
        <f xml:space="preserve"> _xll.EPMOlapMemberO("[PRODUCT].[PARENTH1].[PRG]","","Pregnyl","","000")</f>
        <v>Pregnyl</v>
      </c>
      <c r="B67" s="31">
        <v>21384037.77</v>
      </c>
      <c r="C67" s="31">
        <v>555078.48</v>
      </c>
      <c r="D67" s="31">
        <v>-0.02</v>
      </c>
      <c r="E67" s="31">
        <v>4129502.49</v>
      </c>
      <c r="F67" s="31">
        <v>724704</v>
      </c>
      <c r="G67" s="31">
        <f t="shared" si="2"/>
        <v>0</v>
      </c>
      <c r="H67" s="31">
        <v>26793322.719999999</v>
      </c>
      <c r="J67" s="31">
        <v>16809595.579999998</v>
      </c>
      <c r="K67" s="31">
        <v>1436106.73</v>
      </c>
      <c r="M67" s="31">
        <v>3916969.58</v>
      </c>
      <c r="N67" s="31">
        <v>2094237.35</v>
      </c>
      <c r="O67" s="31">
        <v>0</v>
      </c>
      <c r="P67" s="31">
        <v>24141614.260000002</v>
      </c>
    </row>
    <row r="68" spans="1:16" hidden="1" x14ac:dyDescent="0.35">
      <c r="A68" s="49" t="str">
        <f xml:space="preserve"> _xll.EPMOlapMemberO("[PRODUCT].[PARENTH1].[FERTILITY]","","Fertility","","000")</f>
        <v>Fertility</v>
      </c>
      <c r="B68" s="31">
        <v>153804193.46000001</v>
      </c>
      <c r="C68" s="31">
        <v>52087860.991488002</v>
      </c>
      <c r="D68" s="31">
        <v>74641353.400000006</v>
      </c>
      <c r="E68" s="31">
        <v>94470385.599999994</v>
      </c>
      <c r="F68" s="31">
        <v>26623098.699999999</v>
      </c>
      <c r="G68" s="31">
        <f t="shared" si="2"/>
        <v>0</v>
      </c>
      <c r="H68" s="31">
        <v>401626892.15148801</v>
      </c>
      <c r="J68" s="31">
        <v>112545212.69</v>
      </c>
      <c r="K68" s="31">
        <v>50597872.170000002</v>
      </c>
      <c r="L68" s="31">
        <v>56234604.420000002</v>
      </c>
      <c r="M68" s="31">
        <v>80108898.159999996</v>
      </c>
      <c r="N68" s="31">
        <v>19138773.789999999</v>
      </c>
      <c r="O68" s="31">
        <v>0</v>
      </c>
      <c r="P68" s="31">
        <v>318510211.05000001</v>
      </c>
    </row>
    <row r="69" spans="1:16" hidden="1" x14ac:dyDescent="0.35">
      <c r="A69" s="46" t="str">
        <f xml:space="preserve"> _xll.EPMOlapMemberO("[PRODUCT].[PARENTH1].[WOMENS_HEALTH]","","Total Women's Health","","000")</f>
        <v>Total Women's Health</v>
      </c>
      <c r="B69" s="31">
        <v>844564498.05999994</v>
      </c>
      <c r="C69" s="31">
        <v>131957407.60148799</v>
      </c>
      <c r="D69" s="31">
        <v>75033878.900000006</v>
      </c>
      <c r="E69" s="31">
        <v>329271925.20999998</v>
      </c>
      <c r="F69" s="31">
        <v>231120590.99000001</v>
      </c>
      <c r="G69" s="31">
        <f t="shared" si="2"/>
        <v>0</v>
      </c>
      <c r="H69" s="31">
        <v>1611948300.761488</v>
      </c>
      <c r="J69" s="31">
        <v>859538992.12</v>
      </c>
      <c r="K69" s="31">
        <v>127222173.09999999</v>
      </c>
      <c r="L69" s="31">
        <v>56599528.060000002</v>
      </c>
      <c r="M69" s="31">
        <v>313164517.38999999</v>
      </c>
      <c r="N69" s="31">
        <v>198409568.78999999</v>
      </c>
      <c r="O69" s="31">
        <v>0</v>
      </c>
      <c r="P69" s="31">
        <v>1554819807.3800001</v>
      </c>
    </row>
    <row r="70" spans="1:16" hidden="1" x14ac:dyDescent="0.35">
      <c r="A70" s="44" t="str">
        <f xml:space="preserve"> _xll.EPMOlapMemberO("[PRODUCT].[PARENTH1].[ETA]","","Brenzys","","000")</f>
        <v>Brenzys</v>
      </c>
      <c r="C70" s="31">
        <v>19804912.969999999</v>
      </c>
      <c r="E70" s="31">
        <v>22431493.120000001</v>
      </c>
      <c r="F70" s="31">
        <v>20805108.640000001</v>
      </c>
      <c r="G70" s="31">
        <f t="shared" si="2"/>
        <v>0</v>
      </c>
      <c r="H70" s="31">
        <v>63041514.729999997</v>
      </c>
      <c r="K70" s="31">
        <v>15082117.439999999</v>
      </c>
      <c r="M70" s="31">
        <v>17345699.699999999</v>
      </c>
      <c r="N70" s="31">
        <v>42056874.049999997</v>
      </c>
      <c r="O70" s="31">
        <v>0</v>
      </c>
      <c r="P70" s="31">
        <v>74484695.879999995</v>
      </c>
    </row>
    <row r="71" spans="1:16" hidden="1" x14ac:dyDescent="0.35">
      <c r="A71" s="44" t="str">
        <f xml:space="preserve"> _xll.EPMOlapMemberO("[PRODUCT].[PARENTH1].[SBT]","","Renflexis","","000")</f>
        <v>Renflexis</v>
      </c>
      <c r="B71" s="31">
        <v>164418156.56999999</v>
      </c>
      <c r="C71" s="31">
        <v>4808195.03</v>
      </c>
      <c r="E71" s="31">
        <v>16545256.52</v>
      </c>
      <c r="G71" s="31">
        <f t="shared" si="2"/>
        <v>0</v>
      </c>
      <c r="H71" s="31">
        <v>185771608.12</v>
      </c>
      <c r="J71" s="31">
        <v>123491256.59999999</v>
      </c>
      <c r="K71" s="31">
        <v>1976073.46</v>
      </c>
      <c r="M71" s="31">
        <v>9647219.9600000009</v>
      </c>
      <c r="O71" s="31">
        <v>0</v>
      </c>
      <c r="P71" s="31">
        <v>135114581.65000001</v>
      </c>
    </row>
    <row r="72" spans="1:16" hidden="1" x14ac:dyDescent="0.35">
      <c r="A72" s="44" t="str">
        <f xml:space="preserve"> _xll.EPMOlapMemberO("[PRODUCT].[PARENTH1].[OBP]","","Other Biosimilar Products","","000")</f>
        <v>Other Biosimilar Products</v>
      </c>
      <c r="G72" s="31">
        <f t="shared" si="2"/>
        <v>0</v>
      </c>
      <c r="O72" s="31">
        <v>0</v>
      </c>
    </row>
    <row r="73" spans="1:16" hidden="1" x14ac:dyDescent="0.35">
      <c r="A73" s="44" t="str">
        <f xml:space="preserve"> _xll.EPMOlapMemberO("[PRODUCT].[PARENTH1].[ADA]","","Hadlima","","000")</f>
        <v>Hadlima</v>
      </c>
      <c r="C73" s="31">
        <v>5998295.7999999998</v>
      </c>
      <c r="E73" s="31">
        <v>6881107.4900000002</v>
      </c>
      <c r="G73" s="31">
        <f t="shared" si="2"/>
        <v>0</v>
      </c>
      <c r="H73" s="31">
        <v>12879403.289999999</v>
      </c>
      <c r="O73" s="31">
        <v>0</v>
      </c>
    </row>
    <row r="74" spans="1:16" hidden="1" x14ac:dyDescent="0.35">
      <c r="A74" s="49" t="str">
        <f xml:space="preserve"> _xll.EPMOlapMemberO("[PRODUCT].[PARENTH1].[MBIOVEN]","","Biosimilars - Immunology","","000")</f>
        <v>Biosimilars - Immunology</v>
      </c>
      <c r="B74" s="31">
        <v>164418156.56999999</v>
      </c>
      <c r="C74" s="31">
        <v>30611403.800000001</v>
      </c>
      <c r="E74" s="31">
        <v>45857857.130000003</v>
      </c>
      <c r="F74" s="31">
        <v>20805108.640000001</v>
      </c>
      <c r="G74" s="31">
        <f t="shared" si="2"/>
        <v>0</v>
      </c>
      <c r="H74" s="31">
        <v>261692526.13999999</v>
      </c>
      <c r="J74" s="31">
        <v>123491256.59999999</v>
      </c>
      <c r="K74" s="31">
        <v>17058190.899999999</v>
      </c>
      <c r="M74" s="31">
        <v>26992919.66</v>
      </c>
      <c r="N74" s="31">
        <v>42056874.049999997</v>
      </c>
      <c r="O74" s="31">
        <v>0</v>
      </c>
      <c r="P74" s="31">
        <v>209599277.53</v>
      </c>
    </row>
    <row r="75" spans="1:16" hidden="1" x14ac:dyDescent="0.35">
      <c r="A75" s="44" t="str">
        <f xml:space="preserve"> _xll.EPMOlapMemberO("[PRODUCT].[PARENTH1].[SBF]","","Ontruzant","","000")</f>
        <v>Ontruzant</v>
      </c>
      <c r="B75" s="31">
        <v>34177966.530000001</v>
      </c>
      <c r="C75" s="31">
        <v>1763722.94</v>
      </c>
      <c r="E75" s="31">
        <v>55541674.909999996</v>
      </c>
      <c r="F75" s="31">
        <v>34651934.200000003</v>
      </c>
      <c r="G75" s="31">
        <f t="shared" ref="G75:G138" si="6">H75-SUM(B75:F75)</f>
        <v>0</v>
      </c>
      <c r="H75" s="31">
        <v>126135298.58</v>
      </c>
      <c r="J75" s="31">
        <v>2529230.08</v>
      </c>
      <c r="K75" s="31">
        <v>862736.88</v>
      </c>
      <c r="M75" s="31">
        <v>79508027.510000005</v>
      </c>
      <c r="N75" s="31">
        <v>32269686.84</v>
      </c>
      <c r="O75" s="31">
        <v>0</v>
      </c>
      <c r="P75" s="31">
        <v>115169703.7</v>
      </c>
    </row>
    <row r="76" spans="1:16" hidden="1" x14ac:dyDescent="0.35">
      <c r="A76" s="44" t="str">
        <f xml:space="preserve"> _xll.EPMOlapMemberO("[PRODUCT].[PARENTH1].[SBE]","","Aybintio","","000")</f>
        <v>Aybintio</v>
      </c>
      <c r="E76" s="31">
        <v>36081177.380000003</v>
      </c>
      <c r="G76" s="31">
        <f t="shared" si="6"/>
        <v>0</v>
      </c>
      <c r="H76" s="31">
        <v>36081177.380000003</v>
      </c>
      <c r="M76" s="31">
        <v>5481642.9299999997</v>
      </c>
      <c r="O76" s="31">
        <v>0</v>
      </c>
      <c r="P76" s="31">
        <v>5481643.9699999997</v>
      </c>
    </row>
    <row r="77" spans="1:16" hidden="1" x14ac:dyDescent="0.35">
      <c r="A77" s="49" t="str">
        <f xml:space="preserve"> _xll.EPMOlapMemberO("[PRODUCT].[PARENTH1].[OBIO]","","Biosimilars - Oncology","","000")</f>
        <v>Biosimilars - Oncology</v>
      </c>
      <c r="B77" s="31">
        <v>34177966.530000001</v>
      </c>
      <c r="C77" s="31">
        <v>1763722.94</v>
      </c>
      <c r="E77" s="31">
        <v>91622852.290000007</v>
      </c>
      <c r="F77" s="31">
        <v>34651934.200000003</v>
      </c>
      <c r="G77" s="31">
        <f t="shared" si="6"/>
        <v>0</v>
      </c>
      <c r="H77" s="31">
        <v>162216475.96000001</v>
      </c>
      <c r="J77" s="31">
        <v>2529230.08</v>
      </c>
      <c r="K77" s="31">
        <v>862736.88</v>
      </c>
      <c r="M77" s="31">
        <v>84989670.439999998</v>
      </c>
      <c r="N77" s="31">
        <v>32269686.84</v>
      </c>
      <c r="O77" s="31">
        <v>0</v>
      </c>
      <c r="P77" s="31">
        <v>120651347.67</v>
      </c>
    </row>
    <row r="78" spans="1:16" hidden="1" x14ac:dyDescent="0.35">
      <c r="A78" s="46" t="str">
        <f xml:space="preserve"> _xll.EPMOlapMemberO("[PRODUCT].[PARENTH1].[PROJECT_SONG]","","Biosimilars - Total","","000")</f>
        <v>Biosimilars - Total</v>
      </c>
      <c r="B78" s="31">
        <v>198596123.09999999</v>
      </c>
      <c r="C78" s="31">
        <v>32375126.739999998</v>
      </c>
      <c r="E78" s="31">
        <v>137480709.41999999</v>
      </c>
      <c r="F78" s="31">
        <v>55457042.840000004</v>
      </c>
      <c r="G78" s="31">
        <f t="shared" si="6"/>
        <v>0</v>
      </c>
      <c r="H78" s="31">
        <v>423909002.10000002</v>
      </c>
      <c r="J78" s="31">
        <v>126020486.68000001</v>
      </c>
      <c r="K78" s="31">
        <v>17920927.780000001</v>
      </c>
      <c r="M78" s="31">
        <v>111982590.09999999</v>
      </c>
      <c r="N78" s="31">
        <v>74326560.890000001</v>
      </c>
      <c r="O78" s="31">
        <v>0</v>
      </c>
      <c r="P78" s="31">
        <v>330250625.19999999</v>
      </c>
    </row>
    <row r="79" spans="1:16" hidden="1" x14ac:dyDescent="0.35">
      <c r="A79" s="44" t="str">
        <f xml:space="preserve"> _xll.EPMOlapMemberO("[PRODUCT].[PARENTH1].[NASONEX]","","Nasonex Products","","000")</f>
        <v>Nasonex Products</v>
      </c>
      <c r="B79" s="31">
        <v>4471901.37</v>
      </c>
      <c r="C79" s="31">
        <v>23064362.73</v>
      </c>
      <c r="D79" s="31">
        <v>69537477.019999996</v>
      </c>
      <c r="E79" s="31">
        <v>43667621.100000001</v>
      </c>
      <c r="F79" s="31">
        <v>63889463.009999998</v>
      </c>
      <c r="G79" s="31">
        <f t="shared" si="6"/>
        <v>1106763.5800000131</v>
      </c>
      <c r="H79" s="31">
        <v>205737588.81</v>
      </c>
      <c r="J79" s="31">
        <v>11976844.689999999</v>
      </c>
      <c r="K79" s="31">
        <v>42116221.289999999</v>
      </c>
      <c r="L79" s="31">
        <v>52028727.859999999</v>
      </c>
      <c r="M79" s="31">
        <v>45083623.700000003</v>
      </c>
      <c r="N79" s="31">
        <v>67034888.939999998</v>
      </c>
      <c r="O79" s="31">
        <v>4.2552E-2</v>
      </c>
      <c r="P79" s="31">
        <v>218323856.75999999</v>
      </c>
    </row>
    <row r="80" spans="1:16" hidden="1" x14ac:dyDescent="0.35">
      <c r="A80" s="44" t="str">
        <f xml:space="preserve"> _xll.EPMOlapMemberO("[PRODUCT].[PARENTH1].[GRC]","","Nasonex AG","","000")</f>
        <v>Nasonex AG</v>
      </c>
      <c r="B80" s="31">
        <v>-728794.55</v>
      </c>
      <c r="C80" s="31">
        <v>18076625.52</v>
      </c>
      <c r="G80" s="31">
        <f t="shared" si="6"/>
        <v>0</v>
      </c>
      <c r="H80" s="31">
        <v>17347830.969999999</v>
      </c>
      <c r="J80" s="31">
        <v>3075576.98</v>
      </c>
      <c r="K80" s="31">
        <v>24440475.469999999</v>
      </c>
      <c r="O80" s="31">
        <v>0</v>
      </c>
      <c r="P80" s="31">
        <v>27516052.940000001</v>
      </c>
    </row>
    <row r="81" spans="1:16" hidden="1" x14ac:dyDescent="0.35">
      <c r="A81" s="44" t="str">
        <f xml:space="preserve"> _xll.EPMOlapMemberO("[PRODUCT].[PARENTH1].[SINGULAIRPROD]","","Singulair Products","","000")</f>
        <v>Singulair Products</v>
      </c>
      <c r="B81" s="31">
        <v>15019190.98</v>
      </c>
      <c r="C81" s="31">
        <v>155959486.72999999</v>
      </c>
      <c r="D81" s="31">
        <v>139739239.16999999</v>
      </c>
      <c r="E81" s="31">
        <v>64940816.469999999</v>
      </c>
      <c r="F81" s="31">
        <v>37172069.939999998</v>
      </c>
      <c r="G81" s="31">
        <f t="shared" si="6"/>
        <v>0</v>
      </c>
      <c r="H81" s="31">
        <v>412830803.29000002</v>
      </c>
      <c r="J81" s="31">
        <v>17960379.77</v>
      </c>
      <c r="K81" s="31">
        <v>189410842.80000001</v>
      </c>
      <c r="L81" s="31">
        <v>140657236.16999999</v>
      </c>
      <c r="M81" s="31">
        <v>69491349.480000004</v>
      </c>
      <c r="N81" s="31">
        <v>44295274.090000004</v>
      </c>
      <c r="O81" s="31">
        <v>0</v>
      </c>
      <c r="P81" s="31">
        <v>461815120.94999999</v>
      </c>
    </row>
    <row r="82" spans="1:16" hidden="1" x14ac:dyDescent="0.35">
      <c r="A82" s="44" t="str">
        <f xml:space="preserve"> _xll.EPMOlapMemberO("[PRODUCT].[PARENTH1].[XFV]","","Dulera","","000")</f>
        <v>Dulera</v>
      </c>
      <c r="B82" s="31">
        <v>154472746.52000001</v>
      </c>
      <c r="E82" s="31">
        <v>34674126.799999997</v>
      </c>
      <c r="F82" s="31">
        <v>915930.6</v>
      </c>
      <c r="G82" s="31">
        <f t="shared" si="6"/>
        <v>0</v>
      </c>
      <c r="H82" s="31">
        <v>190062803.91999999</v>
      </c>
      <c r="J82" s="31">
        <v>188234214.87</v>
      </c>
      <c r="M82" s="31">
        <v>33706246.670000002</v>
      </c>
      <c r="N82" s="31">
        <v>537093.15</v>
      </c>
      <c r="O82" s="31">
        <v>0</v>
      </c>
      <c r="P82" s="31">
        <v>222477575.06</v>
      </c>
    </row>
    <row r="83" spans="1:16" hidden="1" x14ac:dyDescent="0.35">
      <c r="A83" s="44" t="str">
        <f xml:space="preserve"> _xll.EPMOlapMemberO("[PRODUCT].[PARENTH1].[DAG]","","Dulera AG","","000")</f>
        <v>Dulera AG</v>
      </c>
      <c r="G83" s="31">
        <f t="shared" si="6"/>
        <v>0</v>
      </c>
      <c r="O83" s="31">
        <v>0</v>
      </c>
    </row>
    <row r="84" spans="1:16" hidden="1" x14ac:dyDescent="0.35">
      <c r="A84" s="44" t="str">
        <f xml:space="preserve"> _xll.EPMOlapMemberO("[PRODUCT].[PARENTH1].[XAF]","","Asmanex","","000")</f>
        <v>Asmanex</v>
      </c>
      <c r="B84" s="31">
        <v>56872145.310000002</v>
      </c>
      <c r="C84" s="31">
        <v>2002892.08</v>
      </c>
      <c r="E84" s="31">
        <v>4370219.72</v>
      </c>
      <c r="F84" s="31">
        <v>-8626.08</v>
      </c>
      <c r="G84" s="31">
        <f t="shared" si="6"/>
        <v>200808</v>
      </c>
      <c r="H84" s="31">
        <v>63437439.030000001</v>
      </c>
      <c r="J84" s="31">
        <v>75610082.280000001</v>
      </c>
      <c r="K84" s="31">
        <v>2438662.44</v>
      </c>
      <c r="M84" s="31">
        <v>4740123.18</v>
      </c>
      <c r="N84" s="31">
        <v>362351.72</v>
      </c>
      <c r="O84" s="31">
        <v>0</v>
      </c>
      <c r="P84" s="31">
        <v>83402026.950000003</v>
      </c>
    </row>
    <row r="85" spans="1:16" hidden="1" x14ac:dyDescent="0.35">
      <c r="A85" s="43" t="str">
        <f xml:space="preserve"> _xll.EPMOlapMemberO("[PRODUCT].[PARENTH1].[XCY]","","Clarinex Tablets","","000")</f>
        <v>Clarinex Tablets</v>
      </c>
      <c r="B85" s="31">
        <v>5628363.0099999998</v>
      </c>
      <c r="C85" s="31">
        <v>22446501.170000002</v>
      </c>
      <c r="D85" s="31">
        <v>140916.85999999999</v>
      </c>
      <c r="E85" s="31">
        <v>43808882.689999998</v>
      </c>
      <c r="F85" s="31">
        <v>20524649.329999998</v>
      </c>
      <c r="G85" s="31">
        <f t="shared" si="6"/>
        <v>0</v>
      </c>
      <c r="H85" s="31">
        <v>92549313.060000002</v>
      </c>
      <c r="J85" s="31">
        <v>6960506.9699999997</v>
      </c>
      <c r="K85" s="31">
        <v>32320969.75</v>
      </c>
      <c r="L85" s="31">
        <v>377253.7</v>
      </c>
      <c r="M85" s="31">
        <v>47198368.270000003</v>
      </c>
      <c r="N85" s="31">
        <v>21379551.100000001</v>
      </c>
      <c r="O85" s="31">
        <v>0</v>
      </c>
      <c r="P85" s="31">
        <v>108236714.73</v>
      </c>
    </row>
    <row r="86" spans="1:16" hidden="1" x14ac:dyDescent="0.35">
      <c r="A86" s="43" t="str">
        <f xml:space="preserve"> _xll.EPMOlapMemberO("[PRODUCT].[PARENTH1].[XCO]","","Clarinex Syrup","","000")</f>
        <v>Clarinex Syrup</v>
      </c>
      <c r="C86" s="31">
        <v>3045801.03</v>
      </c>
      <c r="E86" s="31">
        <v>11115887.98</v>
      </c>
      <c r="F86" s="31">
        <v>4934215.16</v>
      </c>
      <c r="G86" s="31">
        <f t="shared" si="6"/>
        <v>0</v>
      </c>
      <c r="H86" s="31">
        <v>19095904.170000002</v>
      </c>
      <c r="J86" s="31">
        <v>-2135.52</v>
      </c>
      <c r="K86" s="31">
        <v>3906550.98</v>
      </c>
      <c r="M86" s="31">
        <v>10653761.470000001</v>
      </c>
      <c r="N86" s="31">
        <v>7481784.0499999998</v>
      </c>
      <c r="O86" s="31">
        <v>0</v>
      </c>
      <c r="P86" s="31">
        <v>22040000.23</v>
      </c>
    </row>
    <row r="87" spans="1:16" hidden="1" x14ac:dyDescent="0.35">
      <c r="A87" s="43" t="str">
        <f xml:space="preserve"> _xll.EPMOlapMemberO("[PRODUCT].[PARENTH1].[XCU]","","Claritin Syrup","","000")</f>
        <v>Claritin Syrup</v>
      </c>
      <c r="E87" s="31">
        <v>50128.34</v>
      </c>
      <c r="F87" s="31">
        <v>-6307.22</v>
      </c>
      <c r="G87" s="31">
        <f t="shared" si="6"/>
        <v>0</v>
      </c>
      <c r="H87" s="31">
        <v>43821.120000000003</v>
      </c>
      <c r="K87" s="31">
        <v>84199.12</v>
      </c>
      <c r="M87" s="31">
        <v>-9148.7099999999991</v>
      </c>
      <c r="N87" s="31">
        <v>-15747.89</v>
      </c>
      <c r="O87" s="31">
        <v>0</v>
      </c>
      <c r="P87" s="31">
        <v>59302.53</v>
      </c>
    </row>
    <row r="88" spans="1:16" hidden="1" x14ac:dyDescent="0.35">
      <c r="A88" s="43" t="str">
        <f xml:space="preserve"> _xll.EPMOlapMemberO("[PRODUCT].[PARENTH1].[XCX]","","Claritin Tablets ex-D","","000")</f>
        <v>Claritin Tablets ex-D</v>
      </c>
      <c r="C88" s="31">
        <v>0</v>
      </c>
      <c r="F88" s="31">
        <v>-2202.69</v>
      </c>
      <c r="G88" s="31">
        <f t="shared" si="6"/>
        <v>0</v>
      </c>
      <c r="H88" s="31">
        <v>-2202.69</v>
      </c>
      <c r="M88" s="31">
        <v>-109649.45</v>
      </c>
      <c r="N88" s="31">
        <v>-14452.28</v>
      </c>
      <c r="O88" s="31">
        <v>0</v>
      </c>
      <c r="P88" s="31">
        <v>-124101.73</v>
      </c>
    </row>
    <row r="89" spans="1:16" hidden="1" x14ac:dyDescent="0.35">
      <c r="A89" s="43" t="str">
        <f xml:space="preserve"> _xll.EPMOlapMemberO("[PRODUCT].[PARENTH1].[XCG]","","Claritin D","","000")</f>
        <v>Claritin D</v>
      </c>
      <c r="C89" s="31">
        <v>-335490.65000000002</v>
      </c>
      <c r="G89" s="31">
        <f t="shared" si="6"/>
        <v>0</v>
      </c>
      <c r="H89" s="31">
        <v>-335490.65000000002</v>
      </c>
      <c r="K89" s="31">
        <v>0</v>
      </c>
      <c r="N89" s="31">
        <v>-110561.93</v>
      </c>
      <c r="O89" s="31">
        <v>0</v>
      </c>
      <c r="P89" s="31">
        <v>-110561.93</v>
      </c>
    </row>
    <row r="90" spans="1:16" hidden="1" x14ac:dyDescent="0.35">
      <c r="A90" s="44" t="str">
        <f xml:space="preserve"> _xll.EPMOlapMemberO("[PRODUCT].[PARENTH1].[CLARINEX_AERIUS]","","Clarinex_Aerius","","000")</f>
        <v>Clarinex_Aerius</v>
      </c>
      <c r="B90" s="31">
        <v>5628363.0099999998</v>
      </c>
      <c r="C90" s="31">
        <v>25156811.550000001</v>
      </c>
      <c r="D90" s="31">
        <v>140916.85999999999</v>
      </c>
      <c r="E90" s="31">
        <v>54974899.009999998</v>
      </c>
      <c r="F90" s="31">
        <v>25450354.579999998</v>
      </c>
      <c r="G90" s="31">
        <f t="shared" si="6"/>
        <v>0</v>
      </c>
      <c r="H90" s="31">
        <v>111351345.01000001</v>
      </c>
      <c r="J90" s="31">
        <v>6958371.4500000002</v>
      </c>
      <c r="K90" s="31">
        <v>36311719.850000001</v>
      </c>
      <c r="L90" s="31">
        <v>377253.7</v>
      </c>
      <c r="M90" s="31">
        <v>57733331.579999998</v>
      </c>
      <c r="N90" s="31">
        <v>28720573.050000001</v>
      </c>
      <c r="O90" s="31">
        <v>0</v>
      </c>
      <c r="P90" s="31">
        <v>130101353.83</v>
      </c>
    </row>
    <row r="91" spans="1:16" hidden="1" x14ac:dyDescent="0.35">
      <c r="A91" s="44" t="str">
        <f xml:space="preserve"> _xll.EPMOlapMemberO("[PRODUCT].[PARENTH1].[LMC]","","Montaclar","","000")</f>
        <v>Montaclar</v>
      </c>
      <c r="F91" s="31">
        <v>2087651.13</v>
      </c>
      <c r="G91" s="31">
        <f t="shared" si="6"/>
        <v>0</v>
      </c>
      <c r="H91" s="31">
        <v>2087651.13</v>
      </c>
      <c r="N91" s="31">
        <v>1131126.04</v>
      </c>
      <c r="O91" s="31">
        <v>0</v>
      </c>
      <c r="P91" s="31">
        <v>1131123.6599999999</v>
      </c>
    </row>
    <row r="92" spans="1:16" hidden="1" x14ac:dyDescent="0.35">
      <c r="A92" s="44" t="str">
        <f xml:space="preserve"> _xll.EPMOlapMemberO("[PRODUCT].[PARENTH1].[XAC]","","Celestone Other","","000")</f>
        <v>Celestone Other</v>
      </c>
      <c r="C92" s="31">
        <v>16743.57</v>
      </c>
      <c r="E92" s="31">
        <v>1708290.57</v>
      </c>
      <c r="F92" s="31">
        <v>4006140.61</v>
      </c>
      <c r="G92" s="31">
        <f t="shared" si="6"/>
        <v>0</v>
      </c>
      <c r="H92" s="31">
        <v>5731174.75</v>
      </c>
      <c r="K92" s="31">
        <v>294173.21000000002</v>
      </c>
      <c r="M92" s="31">
        <v>1751464.97</v>
      </c>
      <c r="N92" s="31">
        <v>4022274.76</v>
      </c>
      <c r="O92" s="31">
        <v>0</v>
      </c>
      <c r="P92" s="31">
        <v>6067913.2400000002</v>
      </c>
    </row>
    <row r="93" spans="1:16" hidden="1" x14ac:dyDescent="0.35">
      <c r="A93" s="49" t="str">
        <f xml:space="preserve"> _xll.EPMOlapMemberO("[PRODUCT].[PARENTH1].[LEGACY_RESP]","","Established Respiratory","","000")</f>
        <v>Established Respiratory</v>
      </c>
      <c r="B93" s="31">
        <v>235735552.63999999</v>
      </c>
      <c r="C93" s="31">
        <v>224276922.18000001</v>
      </c>
      <c r="D93" s="31">
        <v>209417633.05000001</v>
      </c>
      <c r="E93" s="31">
        <v>204335973.66999999</v>
      </c>
      <c r="F93" s="31">
        <v>133512983.79000001</v>
      </c>
      <c r="G93" s="31">
        <f t="shared" si="6"/>
        <v>1307571.5800000429</v>
      </c>
      <c r="H93" s="31">
        <v>1008586636.91</v>
      </c>
      <c r="J93" s="31">
        <v>303815470.04000002</v>
      </c>
      <c r="K93" s="31">
        <v>295012095.06</v>
      </c>
      <c r="L93" s="31">
        <v>193063217.72999999</v>
      </c>
      <c r="M93" s="31">
        <v>212506139.58000001</v>
      </c>
      <c r="N93" s="31">
        <v>146103581.75</v>
      </c>
      <c r="O93" s="31">
        <v>4.2552E-2</v>
      </c>
      <c r="P93" s="31">
        <v>1150835023.3900001</v>
      </c>
    </row>
    <row r="94" spans="1:16" hidden="1" x14ac:dyDescent="0.35">
      <c r="A94" s="43" t="str">
        <f xml:space="preserve"> _xll.EPMOlapMemberO("[PRODUCT].[PARENTH1].[ARCOXIA]","","Arcoxia Products","","000")</f>
        <v>Arcoxia Products</v>
      </c>
      <c r="B94" s="31">
        <v>-150</v>
      </c>
      <c r="C94" s="31">
        <v>46168581.210000001</v>
      </c>
      <c r="D94" s="31">
        <v>40776814.799999997</v>
      </c>
      <c r="E94" s="31">
        <v>66561829.049999997</v>
      </c>
      <c r="F94" s="31">
        <v>90351973.980000004</v>
      </c>
      <c r="G94" s="31">
        <f t="shared" si="6"/>
        <v>0</v>
      </c>
      <c r="H94" s="31">
        <v>243859049.03999999</v>
      </c>
      <c r="K94" s="31">
        <v>57922512.710000001</v>
      </c>
      <c r="L94" s="31">
        <v>49047895.25</v>
      </c>
      <c r="M94" s="31">
        <v>61186555.810000002</v>
      </c>
      <c r="N94" s="31">
        <v>89534282.459999993</v>
      </c>
      <c r="O94" s="31">
        <v>0</v>
      </c>
      <c r="P94" s="31">
        <v>257691147.47999999</v>
      </c>
    </row>
    <row r="95" spans="1:16" hidden="1" x14ac:dyDescent="0.35">
      <c r="A95" s="47" t="str">
        <f xml:space="preserve"> _xll.EPMOlapMemberO("[PRODUCT].[PARENTH1].[XDP]","","Diprospan","","000")</f>
        <v>Diprospan</v>
      </c>
      <c r="C95" s="31">
        <v>2909552.55</v>
      </c>
      <c r="D95" s="31">
        <v>26402459.07</v>
      </c>
      <c r="E95" s="31">
        <v>24666101.059999999</v>
      </c>
      <c r="F95" s="31">
        <v>71046591.170000002</v>
      </c>
      <c r="G95" s="31">
        <f t="shared" si="6"/>
        <v>0</v>
      </c>
      <c r="H95" s="31">
        <v>125024703.84999999</v>
      </c>
      <c r="K95" s="31">
        <v>3895265.36</v>
      </c>
      <c r="L95" s="31">
        <v>21042279.75</v>
      </c>
      <c r="M95" s="31">
        <v>22722180.18</v>
      </c>
      <c r="N95" s="31">
        <v>70480857.469999999</v>
      </c>
      <c r="O95" s="31">
        <v>0</v>
      </c>
      <c r="P95" s="31">
        <v>118140637.81</v>
      </c>
    </row>
    <row r="96" spans="1:16" hidden="1" x14ac:dyDescent="0.35">
      <c r="A96" s="47" t="str">
        <f xml:space="preserve"> _xll.EPMOlapMemberO("[PRODUCT].[PARENTH1].[XTE]","","Celestone","","000")</f>
        <v>Celestone</v>
      </c>
      <c r="B96" s="31">
        <v>7438046.5999999996</v>
      </c>
      <c r="C96" s="31">
        <v>3544604.61</v>
      </c>
      <c r="E96" s="31">
        <v>12237243.4</v>
      </c>
      <c r="F96" s="31">
        <v>13717171.880000001</v>
      </c>
      <c r="G96" s="31">
        <f t="shared" si="6"/>
        <v>0</v>
      </c>
      <c r="H96" s="31">
        <v>36937066.490000002</v>
      </c>
      <c r="J96" s="31">
        <v>9213266.2100000009</v>
      </c>
      <c r="K96" s="31">
        <v>3494046.7</v>
      </c>
      <c r="M96" s="31">
        <v>10044449.66</v>
      </c>
      <c r="N96" s="31">
        <v>12591475.869999999</v>
      </c>
      <c r="O96" s="31">
        <v>0</v>
      </c>
      <c r="P96" s="31">
        <v>35343301.280000001</v>
      </c>
    </row>
    <row r="97" spans="1:16" hidden="1" x14ac:dyDescent="0.35">
      <c r="A97" s="47" t="str">
        <f xml:space="preserve"> _xll.EPMOlapMemberO("[PRODUCT].[PARENTH1].[CLS]","","Celestone AG","","000")</f>
        <v>Celestone AG</v>
      </c>
      <c r="B97" s="31">
        <v>7924469.9199999999</v>
      </c>
      <c r="G97" s="31">
        <f t="shared" si="6"/>
        <v>0</v>
      </c>
      <c r="H97" s="31">
        <v>7924469.9199999999</v>
      </c>
      <c r="O97" s="31">
        <v>0</v>
      </c>
    </row>
    <row r="98" spans="1:16" hidden="1" x14ac:dyDescent="0.35">
      <c r="A98" s="47" t="str">
        <f xml:space="preserve"> _xll.EPMOlapMemberO("[PRODUCT].[PARENTH1].[BTS]","","Betamethasone","","000")</f>
        <v>Betamethasone</v>
      </c>
      <c r="B98" s="31">
        <v>41819.5</v>
      </c>
      <c r="C98" s="31">
        <v>489006.57</v>
      </c>
      <c r="E98" s="31">
        <v>98156.52</v>
      </c>
      <c r="F98" s="31">
        <v>1040162.76</v>
      </c>
      <c r="G98" s="31">
        <f t="shared" si="6"/>
        <v>0</v>
      </c>
      <c r="H98" s="31">
        <v>1669145.35</v>
      </c>
      <c r="K98" s="31">
        <v>2043763.49</v>
      </c>
      <c r="N98" s="31">
        <v>1554735.18</v>
      </c>
      <c r="O98" s="31">
        <v>0</v>
      </c>
      <c r="P98" s="31">
        <v>3598498.67</v>
      </c>
    </row>
    <row r="99" spans="1:16" hidden="1" x14ac:dyDescent="0.35">
      <c r="A99" s="47" t="str">
        <f xml:space="preserve"> _xll.EPMOlapMemberO("[PRODUCT].[PARENTH1].[XWB]","","Meticorten","","000")</f>
        <v>Meticorten</v>
      </c>
      <c r="F99" s="31">
        <v>1329649.43</v>
      </c>
      <c r="G99" s="31">
        <f t="shared" si="6"/>
        <v>0</v>
      </c>
      <c r="H99" s="31">
        <v>1329649.43</v>
      </c>
      <c r="N99" s="31">
        <v>1106792.2</v>
      </c>
      <c r="O99" s="31">
        <v>0</v>
      </c>
      <c r="P99" s="31">
        <v>1106790.8600000001</v>
      </c>
    </row>
    <row r="100" spans="1:16" hidden="1" x14ac:dyDescent="0.35">
      <c r="A100" s="43" t="str">
        <f xml:space="preserve"> _xll.EPMOlapMemberO("[PRODUCT].[PARENTH1].[INJECTABLE_STED]","","Injectable Steroids","","000")</f>
        <v>Injectable Steroids</v>
      </c>
      <c r="B100" s="31">
        <v>15404336.02</v>
      </c>
      <c r="C100" s="31">
        <v>6943163.7300000004</v>
      </c>
      <c r="D100" s="31">
        <v>26402459.07</v>
      </c>
      <c r="E100" s="31">
        <v>37001500.979999997</v>
      </c>
      <c r="F100" s="31">
        <v>87133575.239999995</v>
      </c>
      <c r="G100" s="31">
        <f t="shared" si="6"/>
        <v>0</v>
      </c>
      <c r="H100" s="31">
        <v>172885035.03999999</v>
      </c>
      <c r="J100" s="31">
        <v>9213266.2100000009</v>
      </c>
      <c r="K100" s="31">
        <v>9433075.5500000007</v>
      </c>
      <c r="L100" s="31">
        <v>21042279.75</v>
      </c>
      <c r="M100" s="31">
        <v>32766629.84</v>
      </c>
      <c r="N100" s="31">
        <v>85733860.719999999</v>
      </c>
      <c r="O100" s="31">
        <v>0</v>
      </c>
      <c r="P100" s="31">
        <v>158189228.62</v>
      </c>
    </row>
    <row r="101" spans="1:16" hidden="1" x14ac:dyDescent="0.35">
      <c r="A101" s="44" t="str">
        <f xml:space="preserve"> _xll.EPMOlapMemberO("[PRODUCT].[PARENTH1].[INJECTABLES]","","Established Pain","","000")</f>
        <v>Established Pain</v>
      </c>
      <c r="B101" s="31">
        <v>15404186.02</v>
      </c>
      <c r="C101" s="31">
        <v>53111744.939999998</v>
      </c>
      <c r="D101" s="31">
        <v>67179273.870000005</v>
      </c>
      <c r="E101" s="31">
        <v>103563330.03</v>
      </c>
      <c r="F101" s="31">
        <v>177485549.22</v>
      </c>
      <c r="G101" s="31">
        <f t="shared" si="6"/>
        <v>0</v>
      </c>
      <c r="H101" s="31">
        <v>416744084.07999998</v>
      </c>
      <c r="J101" s="31">
        <v>9213266.2100000009</v>
      </c>
      <c r="K101" s="31">
        <v>67355588.260000005</v>
      </c>
      <c r="L101" s="31">
        <v>70090175</v>
      </c>
      <c r="M101" s="31">
        <v>93953185.650000006</v>
      </c>
      <c r="N101" s="31">
        <v>175268143.18000001</v>
      </c>
      <c r="O101" s="31">
        <v>0</v>
      </c>
      <c r="P101" s="31">
        <v>415880376.10000002</v>
      </c>
    </row>
    <row r="102" spans="1:16" hidden="1" x14ac:dyDescent="0.35">
      <c r="A102" s="43" t="str">
        <f xml:space="preserve"> _xll.EPMOlapMemberO("[PRODUCT].[PARENTH1].[FOSOMAXPROD]","","Fosamax Products","","000")</f>
        <v>Fosamax Products</v>
      </c>
      <c r="B102" s="31">
        <v>3546956.94</v>
      </c>
      <c r="C102" s="31">
        <v>45806951.240000002</v>
      </c>
      <c r="D102" s="31">
        <v>66661174.479999997</v>
      </c>
      <c r="E102" s="31">
        <v>42358751.060000002</v>
      </c>
      <c r="F102" s="31">
        <v>17032969.710000001</v>
      </c>
      <c r="G102" s="31">
        <f t="shared" si="6"/>
        <v>0</v>
      </c>
      <c r="H102" s="31">
        <v>175406803.43000001</v>
      </c>
      <c r="J102" s="31">
        <v>3732002.97</v>
      </c>
      <c r="K102" s="31">
        <v>61282443.759999998</v>
      </c>
      <c r="L102" s="31">
        <v>54184843.409999996</v>
      </c>
      <c r="M102" s="31">
        <v>43469900.520000003</v>
      </c>
      <c r="N102" s="31">
        <v>16920977.530000001</v>
      </c>
      <c r="O102" s="31">
        <v>0</v>
      </c>
      <c r="P102" s="31">
        <v>179590234.97</v>
      </c>
    </row>
    <row r="103" spans="1:16" hidden="1" x14ac:dyDescent="0.35">
      <c r="A103" s="44" t="str">
        <f xml:space="preserve"> _xll.EPMOlapMemberO("[PRODUCT].[PARENTH1].[BONE]","","Bone","","000")</f>
        <v>Bone</v>
      </c>
      <c r="B103" s="31">
        <v>3546956.94</v>
      </c>
      <c r="C103" s="31">
        <v>45806951.240000002</v>
      </c>
      <c r="D103" s="31">
        <v>66661174.479999997</v>
      </c>
      <c r="E103" s="31">
        <v>42358751.060000002</v>
      </c>
      <c r="F103" s="31">
        <v>17032969.710000001</v>
      </c>
      <c r="G103" s="31">
        <f t="shared" si="6"/>
        <v>0</v>
      </c>
      <c r="H103" s="31">
        <v>175406803.43000001</v>
      </c>
      <c r="J103" s="31">
        <v>3732002.97</v>
      </c>
      <c r="K103" s="31">
        <v>61282443.759999998</v>
      </c>
      <c r="L103" s="31">
        <v>54184843.409999996</v>
      </c>
      <c r="M103" s="31">
        <v>43469900.520000003</v>
      </c>
      <c r="N103" s="31">
        <v>16920977.530000001</v>
      </c>
      <c r="O103" s="31">
        <v>0</v>
      </c>
      <c r="P103" s="31">
        <v>179590234.97</v>
      </c>
    </row>
    <row r="104" spans="1:16" hidden="1" x14ac:dyDescent="0.35">
      <c r="A104" s="43" t="str">
        <f xml:space="preserve"> _xll.EPMOlapMemberO("[PRODUCT].[PARENTH1].[XKA]","","Lotrisone","","000")</f>
        <v>Lotrisone</v>
      </c>
      <c r="B104" s="31">
        <v>-861.64</v>
      </c>
      <c r="E104" s="31">
        <v>12890092.619999999</v>
      </c>
      <c r="F104" s="31">
        <v>383568.51</v>
      </c>
      <c r="G104" s="31">
        <f t="shared" si="6"/>
        <v>0</v>
      </c>
      <c r="H104" s="31">
        <v>13272799.49</v>
      </c>
      <c r="J104" s="31">
        <v>-28279.34</v>
      </c>
      <c r="M104" s="31">
        <v>14925964.130000001</v>
      </c>
      <c r="N104" s="31">
        <v>1471602.29</v>
      </c>
      <c r="O104" s="31">
        <v>0</v>
      </c>
      <c r="P104" s="31">
        <v>16369304.789999999</v>
      </c>
    </row>
    <row r="105" spans="1:16" hidden="1" x14ac:dyDescent="0.35">
      <c r="A105" s="43" t="str">
        <f xml:space="preserve"> _xll.EPMOlapMemberO("[PRODUCT].[PARENTH1].[XCN]","","Elocon","","000")</f>
        <v>Elocon</v>
      </c>
      <c r="B105" s="31">
        <v>-13.32</v>
      </c>
      <c r="C105" s="31">
        <v>13501471.130000001</v>
      </c>
      <c r="E105" s="31">
        <v>31561831.280000001</v>
      </c>
      <c r="F105" s="31">
        <v>12400786.32</v>
      </c>
      <c r="G105" s="31">
        <f t="shared" si="6"/>
        <v>0</v>
      </c>
      <c r="H105" s="31">
        <v>57464075.409999996</v>
      </c>
      <c r="J105" s="31">
        <v>-37230</v>
      </c>
      <c r="K105" s="31">
        <v>13767542.970000001</v>
      </c>
      <c r="M105" s="31">
        <v>31324759.379999999</v>
      </c>
      <c r="N105" s="31">
        <v>12887311.210000001</v>
      </c>
      <c r="O105" s="31">
        <v>0</v>
      </c>
      <c r="P105" s="31">
        <v>57942437.68</v>
      </c>
    </row>
    <row r="106" spans="1:16" hidden="1" x14ac:dyDescent="0.35">
      <c r="A106" s="43" t="str">
        <f xml:space="preserve"> _xll.EPMOlapMemberO("[PRODUCT].[PARENTH1].[XDI]","","Diprosone","","000")</f>
        <v>Diprosone</v>
      </c>
      <c r="B106" s="31">
        <v>1392155.46</v>
      </c>
      <c r="C106" s="31">
        <v>23283768.579999998</v>
      </c>
      <c r="E106" s="31">
        <v>54136888.859999999</v>
      </c>
      <c r="F106" s="31">
        <v>8270464.9800000004</v>
      </c>
      <c r="G106" s="31">
        <f t="shared" si="6"/>
        <v>0</v>
      </c>
      <c r="H106" s="31">
        <v>87083277.879999995</v>
      </c>
      <c r="J106" s="31">
        <v>1141891.75</v>
      </c>
      <c r="K106" s="31">
        <v>21091516.280000001</v>
      </c>
      <c r="M106" s="31">
        <v>52332490.159999996</v>
      </c>
      <c r="N106" s="31">
        <v>8304588.8600000003</v>
      </c>
      <c r="O106" s="31">
        <v>0</v>
      </c>
      <c r="P106" s="31">
        <v>82870561.290000007</v>
      </c>
    </row>
    <row r="107" spans="1:16" hidden="1" x14ac:dyDescent="0.35">
      <c r="A107" s="43" t="str">
        <f xml:space="preserve"> _xll.EPMOlapMemberO("[PRODUCT].[PARENTH1].[XVL]","","Valisone","","000")</f>
        <v>Valisone</v>
      </c>
      <c r="C107" s="31">
        <v>3853468.98</v>
      </c>
      <c r="E107" s="31">
        <v>35767059.969999999</v>
      </c>
      <c r="F107" s="31">
        <v>1275280.17</v>
      </c>
      <c r="G107" s="31">
        <f t="shared" si="6"/>
        <v>0</v>
      </c>
      <c r="H107" s="31">
        <v>40895809.119999997</v>
      </c>
      <c r="K107" s="31">
        <v>3861561.72</v>
      </c>
      <c r="M107" s="31">
        <v>35161585.57</v>
      </c>
      <c r="N107" s="31">
        <v>1412956.58</v>
      </c>
      <c r="O107" s="31">
        <v>0</v>
      </c>
      <c r="P107" s="31">
        <v>40436121.950000003</v>
      </c>
    </row>
    <row r="108" spans="1:16" hidden="1" x14ac:dyDescent="0.35">
      <c r="A108" s="43" t="str">
        <f xml:space="preserve"> _xll.EPMOlapMemberO("[PRODUCT].[PARENTH1].[XQU]","","Quadriderm","","000")</f>
        <v>Quadriderm</v>
      </c>
      <c r="C108" s="31">
        <v>8119596.2999999998</v>
      </c>
      <c r="E108" s="31">
        <v>8847140.8699999992</v>
      </c>
      <c r="F108" s="31">
        <v>13677513.73</v>
      </c>
      <c r="G108" s="31">
        <f t="shared" si="6"/>
        <v>0</v>
      </c>
      <c r="H108" s="31">
        <v>30644250.899999999</v>
      </c>
      <c r="K108" s="31">
        <v>6992340.2199999997</v>
      </c>
      <c r="M108" s="31">
        <v>9133258.9600000009</v>
      </c>
      <c r="N108" s="31">
        <v>16000953.439999999</v>
      </c>
      <c r="O108" s="31">
        <v>0</v>
      </c>
      <c r="P108" s="31">
        <v>32126566.100000001</v>
      </c>
    </row>
    <row r="109" spans="1:16" hidden="1" x14ac:dyDescent="0.35">
      <c r="A109" s="43" t="str">
        <f xml:space="preserve"> _xll.EPMOlapMemberO("[PRODUCT].[PARENTH1].[XGA]","","Gentalyn","","000")</f>
        <v>Gentalyn</v>
      </c>
      <c r="E109" s="31">
        <v>7612578.5899999999</v>
      </c>
      <c r="F109" s="31">
        <v>364976.99</v>
      </c>
      <c r="G109" s="31">
        <f t="shared" si="6"/>
        <v>0</v>
      </c>
      <c r="H109" s="31">
        <v>7977555.5800000001</v>
      </c>
      <c r="M109" s="31">
        <v>6943668.3600000003</v>
      </c>
      <c r="N109" s="31">
        <v>881800.03</v>
      </c>
      <c r="O109" s="31">
        <v>0</v>
      </c>
      <c r="P109" s="31">
        <v>7825472.7400000002</v>
      </c>
    </row>
    <row r="110" spans="1:16" hidden="1" x14ac:dyDescent="0.35">
      <c r="A110" s="43" t="str">
        <f xml:space="preserve"> _xll.EPMOlapMemberO("[PRODUCT].[PARENTH1].[EML]","","Emolene","","000")</f>
        <v>Emolene</v>
      </c>
      <c r="C110" s="31">
        <v>479488.2067937</v>
      </c>
      <c r="G110" s="31">
        <f t="shared" si="6"/>
        <v>0</v>
      </c>
      <c r="H110" s="31">
        <v>479488.2067937</v>
      </c>
      <c r="O110" s="31">
        <v>0</v>
      </c>
    </row>
    <row r="111" spans="1:16" hidden="1" x14ac:dyDescent="0.35">
      <c r="A111" s="44" t="str">
        <f xml:space="preserve"> _xll.EPMOlapMemberO("[PRODUCT].[PARENTH1].[DERMATOLOGY]","","Established Dermatology","","000")</f>
        <v>Established Dermatology</v>
      </c>
      <c r="B111" s="31">
        <v>1391280.5</v>
      </c>
      <c r="C111" s="31">
        <v>49237793.196793698</v>
      </c>
      <c r="E111" s="31">
        <v>150815592.19</v>
      </c>
      <c r="F111" s="31">
        <v>36372590.700000003</v>
      </c>
      <c r="G111" s="31">
        <f t="shared" si="6"/>
        <v>0</v>
      </c>
      <c r="H111" s="31">
        <v>237817256.58679369</v>
      </c>
      <c r="J111" s="31">
        <v>1076382.4099999999</v>
      </c>
      <c r="K111" s="31">
        <v>45712961.189999998</v>
      </c>
      <c r="M111" s="31">
        <v>149821726.56</v>
      </c>
      <c r="N111" s="31">
        <v>40959212.409999996</v>
      </c>
      <c r="O111" s="31">
        <v>0</v>
      </c>
      <c r="P111" s="31">
        <v>237570464.55000001</v>
      </c>
    </row>
    <row r="112" spans="1:16" hidden="1" x14ac:dyDescent="0.35">
      <c r="A112" s="49" t="str">
        <f xml:space="preserve"> _xll.EPMOlapMemberO("[PRODUCT].[PARENTH1].[LEGACY_PAIN_BONE_DERM]","","Established Pain, Bone and Derm","","000")</f>
        <v>Established Pain, Bone and Derm</v>
      </c>
      <c r="B112" s="31">
        <v>20342423.460000001</v>
      </c>
      <c r="C112" s="31">
        <v>148156489.37679371</v>
      </c>
      <c r="D112" s="31">
        <v>133840448.34999999</v>
      </c>
      <c r="E112" s="31">
        <v>296737673.27999997</v>
      </c>
      <c r="F112" s="31">
        <v>230891109.63</v>
      </c>
      <c r="G112" s="31">
        <f t="shared" si="6"/>
        <v>0</v>
      </c>
      <c r="H112" s="31">
        <v>829968144.09679365</v>
      </c>
      <c r="J112" s="31">
        <v>14021651.59</v>
      </c>
      <c r="K112" s="31">
        <v>174350993.21000001</v>
      </c>
      <c r="L112" s="31">
        <v>124275018.41</v>
      </c>
      <c r="M112" s="31">
        <v>287244812.73000002</v>
      </c>
      <c r="N112" s="31">
        <v>233148333.12</v>
      </c>
      <c r="O112" s="31">
        <v>0</v>
      </c>
      <c r="P112" s="31">
        <v>833041075.62</v>
      </c>
    </row>
    <row r="113" spans="1:16" hidden="1" x14ac:dyDescent="0.35">
      <c r="A113" s="47" t="str">
        <f xml:space="preserve"> _xll.EPMOlapMemberO("[PRODUCT].[PARENTH1].[ZETIA]","","Zetia Products","","000")</f>
        <v>Zetia Products</v>
      </c>
      <c r="B113" s="31">
        <v>9677823.0899999999</v>
      </c>
      <c r="C113" s="31">
        <v>71874794.829999998</v>
      </c>
      <c r="D113" s="31">
        <v>174244824.94999999</v>
      </c>
      <c r="E113" s="31">
        <v>97107286.989999995</v>
      </c>
      <c r="F113" s="31">
        <v>24622458.579999998</v>
      </c>
      <c r="G113" s="31">
        <f t="shared" si="6"/>
        <v>0</v>
      </c>
      <c r="H113" s="31">
        <v>377527188.44</v>
      </c>
      <c r="J113" s="31">
        <v>-1009169.32</v>
      </c>
      <c r="K113" s="31">
        <v>243016299.68000001</v>
      </c>
      <c r="L113" s="31">
        <v>112550489.48</v>
      </c>
      <c r="M113" s="31">
        <v>101428709.69</v>
      </c>
      <c r="N113" s="31">
        <v>25779919.699999999</v>
      </c>
      <c r="O113" s="31">
        <v>0</v>
      </c>
      <c r="P113" s="31">
        <v>481766310.81999999</v>
      </c>
    </row>
    <row r="114" spans="1:16" hidden="1" x14ac:dyDescent="0.35">
      <c r="A114" s="47" t="str">
        <f xml:space="preserve"> _xll.EPMOlapMemberO("[PRODUCT].[PARENTH1].[VYTORIN]","","Vytorin Products","","000")</f>
        <v>Vytorin Products</v>
      </c>
      <c r="B114" s="31">
        <v>10579150.23</v>
      </c>
      <c r="C114" s="31">
        <v>37610041.899999999</v>
      </c>
      <c r="D114" s="31">
        <v>1742589.48</v>
      </c>
      <c r="E114" s="31">
        <v>77578593.379999995</v>
      </c>
      <c r="F114" s="31">
        <v>36309877.229999997</v>
      </c>
      <c r="G114" s="31">
        <f t="shared" si="6"/>
        <v>185624.57000002265</v>
      </c>
      <c r="H114" s="31">
        <v>164005876.78999999</v>
      </c>
      <c r="J114" s="31">
        <v>12397038.720000001</v>
      </c>
      <c r="K114" s="31">
        <v>40923274.549999997</v>
      </c>
      <c r="L114" s="31">
        <v>1512380.03</v>
      </c>
      <c r="M114" s="31">
        <v>85069494.180000007</v>
      </c>
      <c r="N114" s="31">
        <v>42526674.060000002</v>
      </c>
      <c r="O114" s="31">
        <v>0</v>
      </c>
      <c r="P114" s="31">
        <v>182428908.28</v>
      </c>
    </row>
    <row r="115" spans="1:16" hidden="1" x14ac:dyDescent="0.35">
      <c r="A115" s="43" t="str">
        <f xml:space="preserve"> _xll.EPMOlapMemberO("[PRODUCT].[PARENTH1].[ZETIA_VYTORIN]","","Zetia Vytorin","","000")</f>
        <v>Zetia Vytorin</v>
      </c>
      <c r="B115" s="31">
        <v>20256973.32</v>
      </c>
      <c r="C115" s="31">
        <v>109484836.73</v>
      </c>
      <c r="D115" s="31">
        <v>175987414.43000001</v>
      </c>
      <c r="E115" s="31">
        <v>174685880.37</v>
      </c>
      <c r="F115" s="31">
        <v>60932335.810000002</v>
      </c>
      <c r="G115" s="31">
        <f t="shared" si="6"/>
        <v>185624.56999993324</v>
      </c>
      <c r="H115" s="31">
        <v>541533065.23000002</v>
      </c>
      <c r="J115" s="31">
        <v>11387869.4</v>
      </c>
      <c r="K115" s="31">
        <v>283939574.23000002</v>
      </c>
      <c r="L115" s="31">
        <v>114062869.51000001</v>
      </c>
      <c r="M115" s="31">
        <v>186498203.87</v>
      </c>
      <c r="N115" s="31">
        <v>68306593.760000005</v>
      </c>
      <c r="O115" s="31">
        <v>0</v>
      </c>
      <c r="P115" s="31">
        <v>664195219.10000002</v>
      </c>
    </row>
    <row r="116" spans="1:16" hidden="1" x14ac:dyDescent="0.35">
      <c r="A116" s="43" t="str">
        <f xml:space="preserve"> _xll.EPMOlapMemberO("[PRODUCT].[PARENTH1].[LIPTRUZET]","","Atozet Products","","000")</f>
        <v>Atozet Products</v>
      </c>
      <c r="B116" s="31">
        <v>0</v>
      </c>
      <c r="C116" s="31">
        <v>141449056.02000001</v>
      </c>
      <c r="E116" s="31">
        <v>288723095.25999999</v>
      </c>
      <c r="F116" s="31">
        <v>27399560.48</v>
      </c>
      <c r="G116" s="31">
        <f t="shared" si="6"/>
        <v>0</v>
      </c>
      <c r="H116" s="31">
        <v>457571711.75999999</v>
      </c>
      <c r="K116" s="31">
        <v>127958377.2</v>
      </c>
      <c r="M116" s="31">
        <v>302330862.86000001</v>
      </c>
      <c r="N116" s="31">
        <v>23158152.289999999</v>
      </c>
      <c r="O116" s="31">
        <v>0</v>
      </c>
      <c r="P116" s="31">
        <v>453447433.43000001</v>
      </c>
    </row>
    <row r="117" spans="1:16" hidden="1" x14ac:dyDescent="0.35">
      <c r="A117" s="43" t="str">
        <f xml:space="preserve"> _xll.EPMOlapMemberO("[PRODUCT].[PARENTH1].[ROSPROD]","","Rosuzet Products","","000")</f>
        <v>Rosuzet Products</v>
      </c>
      <c r="C117" s="31">
        <v>66783736.960000001</v>
      </c>
      <c r="F117" s="31">
        <v>1040192.94</v>
      </c>
      <c r="G117" s="31">
        <f t="shared" si="6"/>
        <v>0</v>
      </c>
      <c r="H117" s="31">
        <v>67823929.900000006</v>
      </c>
      <c r="K117" s="31">
        <v>130029592.90000001</v>
      </c>
      <c r="O117" s="31">
        <v>0</v>
      </c>
      <c r="P117" s="31">
        <v>130029589.92</v>
      </c>
    </row>
    <row r="118" spans="1:16" hidden="1" x14ac:dyDescent="0.35">
      <c r="A118" s="43" t="str">
        <f xml:space="preserve"> _xll.EPMOlapMemberO("[PRODUCT].[PARENTH1].[GRD]","","Zetia AG","","000")</f>
        <v>Zetia AG</v>
      </c>
      <c r="C118" s="31">
        <v>12257158.640000001</v>
      </c>
      <c r="G118" s="31">
        <f t="shared" si="6"/>
        <v>0</v>
      </c>
      <c r="H118" s="31">
        <v>12257158.640000001</v>
      </c>
      <c r="K118" s="31">
        <v>32294663.940000001</v>
      </c>
      <c r="O118" s="31">
        <v>0</v>
      </c>
      <c r="P118" s="31">
        <v>32294662.739999998</v>
      </c>
    </row>
    <row r="119" spans="1:16" hidden="1" x14ac:dyDescent="0.35">
      <c r="A119" s="44" t="str">
        <f xml:space="preserve"> _xll.EPMOlapMemberO("[PRODUCT].[PARENTH1].[MSPCHOLPROD]","","Ezetimibe Family","","000")</f>
        <v>Ezetimibe Family</v>
      </c>
      <c r="B119" s="31">
        <v>20256973.32</v>
      </c>
      <c r="C119" s="31">
        <v>329974788.35000002</v>
      </c>
      <c r="D119" s="31">
        <v>175987414.43000001</v>
      </c>
      <c r="E119" s="31">
        <v>463408975.63</v>
      </c>
      <c r="F119" s="31">
        <v>89372089.230000004</v>
      </c>
      <c r="G119" s="31">
        <f t="shared" si="6"/>
        <v>185624.56999993324</v>
      </c>
      <c r="H119" s="31">
        <v>1079185865.53</v>
      </c>
      <c r="J119" s="31">
        <v>11387869.4</v>
      </c>
      <c r="K119" s="31">
        <v>574222208.26999998</v>
      </c>
      <c r="L119" s="31">
        <v>114062869.51000001</v>
      </c>
      <c r="M119" s="31">
        <v>488829066.73000002</v>
      </c>
      <c r="N119" s="31">
        <v>91464746.049999997</v>
      </c>
      <c r="O119" s="31">
        <v>0</v>
      </c>
      <c r="P119" s="31">
        <v>1279966905.1900001</v>
      </c>
    </row>
    <row r="120" spans="1:16" hidden="1" x14ac:dyDescent="0.35">
      <c r="A120" s="44" t="str">
        <f xml:space="preserve"> _xll.EPMOlapMemberO("[PRODUCT].[PARENTH1].[OCP]","","Lixiana","","000")</f>
        <v>Lixiana</v>
      </c>
      <c r="E120" s="31">
        <v>35259978.829999998</v>
      </c>
      <c r="G120" s="31">
        <f t="shared" si="6"/>
        <v>0</v>
      </c>
      <c r="H120" s="31">
        <v>35259978.829999998</v>
      </c>
      <c r="M120" s="31">
        <v>32080407.379999999</v>
      </c>
      <c r="O120" s="31">
        <v>0</v>
      </c>
      <c r="P120" s="31">
        <v>32080406.98</v>
      </c>
    </row>
    <row r="121" spans="1:16" hidden="1" x14ac:dyDescent="0.35">
      <c r="A121" s="44" t="str">
        <f xml:space="preserve"> _xll.EPMOlapMemberO("[PRODUCT].[PARENTH1].[COZAAR_HYZAAR]","","Cozaar Hyzaar Products","","000")</f>
        <v>Cozaar Hyzaar Products</v>
      </c>
      <c r="B121" s="31">
        <v>12124577.9</v>
      </c>
      <c r="C121" s="31">
        <v>109742667.59</v>
      </c>
      <c r="D121" s="31">
        <v>162524305.25</v>
      </c>
      <c r="E121" s="31">
        <v>40426584.170000002</v>
      </c>
      <c r="F121" s="31">
        <v>32525087.629999999</v>
      </c>
      <c r="G121" s="31">
        <f t="shared" si="6"/>
        <v>0</v>
      </c>
      <c r="H121" s="31">
        <v>357343222.54000002</v>
      </c>
      <c r="J121" s="31">
        <v>21330306.079999998</v>
      </c>
      <c r="K121" s="31">
        <v>113732501.31</v>
      </c>
      <c r="L121" s="31">
        <v>161571774.90000001</v>
      </c>
      <c r="M121" s="31">
        <v>47592695.969999999</v>
      </c>
      <c r="N121" s="31">
        <v>41895671.530000001</v>
      </c>
      <c r="O121" s="31">
        <v>0</v>
      </c>
      <c r="P121" s="31">
        <v>386123101.38999999</v>
      </c>
    </row>
    <row r="122" spans="1:16" hidden="1" x14ac:dyDescent="0.35">
      <c r="A122" s="44" t="str">
        <f xml:space="preserve"> _xll.EPMOlapMemberO("[PRODUCT].[PARENTH1].[ZOCOR]","","Zocor Products","","000")</f>
        <v>Zocor Products</v>
      </c>
      <c r="B122" s="31">
        <v>3824708.75</v>
      </c>
      <c r="C122" s="31">
        <v>14318877.560000001</v>
      </c>
      <c r="D122" s="31">
        <v>19360215.07</v>
      </c>
      <c r="E122" s="31">
        <v>18240864.75</v>
      </c>
      <c r="F122" s="31">
        <v>8895508.25</v>
      </c>
      <c r="G122" s="31">
        <f t="shared" si="6"/>
        <v>0</v>
      </c>
      <c r="H122" s="31">
        <v>64640174.380000003</v>
      </c>
      <c r="J122" s="31">
        <v>2542096.94</v>
      </c>
      <c r="K122" s="31">
        <v>15523301.33</v>
      </c>
      <c r="L122" s="31">
        <v>29636947.890000001</v>
      </c>
      <c r="M122" s="31">
        <v>20364858.32</v>
      </c>
      <c r="N122" s="31">
        <v>8987638.5700000003</v>
      </c>
      <c r="O122" s="31">
        <v>0</v>
      </c>
      <c r="P122" s="31">
        <v>77054871.120000005</v>
      </c>
    </row>
    <row r="123" spans="1:16" hidden="1" x14ac:dyDescent="0.35">
      <c r="A123" s="44" t="str">
        <f xml:space="preserve"> _xll.EPMOlapMemberO("[PRODUCT].[PARENTH1].[VASOTEC_VASERETIC]","","Vasotec Vaseretic Products","","000")</f>
        <v>Vasotec Vaseretic Products</v>
      </c>
      <c r="C123" s="31">
        <v>6537594.2000000002</v>
      </c>
      <c r="D123" s="31">
        <v>9663.9699999999993</v>
      </c>
      <c r="E123" s="31">
        <v>17155842.399999999</v>
      </c>
      <c r="F123" s="31">
        <v>7216079.7599999998</v>
      </c>
      <c r="G123" s="31">
        <f t="shared" si="6"/>
        <v>0</v>
      </c>
      <c r="H123" s="31">
        <v>30919180.329999998</v>
      </c>
      <c r="K123" s="31">
        <v>7376141.2000000002</v>
      </c>
      <c r="L123" s="31">
        <v>7858.78</v>
      </c>
      <c r="M123" s="31">
        <v>18896852.690000001</v>
      </c>
      <c r="N123" s="31">
        <v>9973361</v>
      </c>
      <c r="O123" s="31">
        <v>0</v>
      </c>
      <c r="P123" s="31">
        <v>36254275.640000001</v>
      </c>
    </row>
    <row r="124" spans="1:16" hidden="1" x14ac:dyDescent="0.35">
      <c r="A124" s="44" t="str">
        <f xml:space="preserve"> _xll.EPMOlapMemberO("[PRODUCT].[PARENTH1].[XHE]","","Olmetec Sevikar","","000")</f>
        <v>Olmetec Sevikar</v>
      </c>
      <c r="C124" s="31">
        <v>12521079.689999999</v>
      </c>
      <c r="E124" s="31">
        <v>3861813.84</v>
      </c>
      <c r="F124" s="31">
        <v>17210518.16</v>
      </c>
      <c r="G124" s="31">
        <f t="shared" si="6"/>
        <v>0</v>
      </c>
      <c r="H124" s="31">
        <v>33593411.689999998</v>
      </c>
      <c r="K124" s="31">
        <v>8046929.3200000003</v>
      </c>
      <c r="M124" s="31">
        <v>9061226.9600000009</v>
      </c>
      <c r="N124" s="31">
        <v>18470152.07</v>
      </c>
      <c r="O124" s="31">
        <v>0</v>
      </c>
      <c r="P124" s="31">
        <v>35578314.619999997</v>
      </c>
    </row>
    <row r="125" spans="1:16" hidden="1" x14ac:dyDescent="0.35">
      <c r="A125" s="44" t="str">
        <f xml:space="preserve"> _xll.EPMOlapMemberO("[PRODUCT].[PARENTH1].[BPR]","","Bepricor","","000")</f>
        <v>Bepricor</v>
      </c>
      <c r="C125" s="31">
        <v>14619085.619999999</v>
      </c>
      <c r="G125" s="31">
        <f t="shared" si="6"/>
        <v>0</v>
      </c>
      <c r="H125" s="31">
        <v>14619085.619999999</v>
      </c>
      <c r="K125" s="31">
        <v>25765996.699999999</v>
      </c>
      <c r="O125" s="31">
        <v>0</v>
      </c>
      <c r="P125" s="31">
        <v>25765996.699999999</v>
      </c>
    </row>
    <row r="126" spans="1:16" hidden="1" x14ac:dyDescent="0.35">
      <c r="A126" s="44" t="str">
        <f xml:space="preserve"> _xll.EPMOlapMemberO("[PRODUCT].[PARENTH1].[HYC]","","Hydrochlorothiazide","","000")</f>
        <v>Hydrochlorothiazide</v>
      </c>
      <c r="G126" s="31">
        <f t="shared" si="6"/>
        <v>0</v>
      </c>
      <c r="O126" s="31">
        <v>0</v>
      </c>
    </row>
    <row r="127" spans="1:16" hidden="1" x14ac:dyDescent="0.35">
      <c r="A127" s="49" t="str">
        <f xml:space="preserve"> _xll.EPMOlapMemberO("[PRODUCT].[PARENTH1].[HYPERTENSION]","","Established Cardiovascular","","000")</f>
        <v>Established Cardiovascular</v>
      </c>
      <c r="B127" s="31">
        <v>36206259.969999999</v>
      </c>
      <c r="C127" s="31">
        <v>487714093.00999999</v>
      </c>
      <c r="D127" s="31">
        <v>357881598.72000003</v>
      </c>
      <c r="E127" s="31">
        <v>578354059.62</v>
      </c>
      <c r="F127" s="31">
        <v>155219283.03</v>
      </c>
      <c r="G127" s="31">
        <f t="shared" si="6"/>
        <v>185624.56999993324</v>
      </c>
      <c r="H127" s="31">
        <v>1615560918.9200001</v>
      </c>
      <c r="J127" s="31">
        <v>35260272.420000002</v>
      </c>
      <c r="K127" s="31">
        <v>744667078.13</v>
      </c>
      <c r="L127" s="31">
        <v>305279451.07999998</v>
      </c>
      <c r="M127" s="31">
        <v>616825108.04999995</v>
      </c>
      <c r="N127" s="31">
        <v>170791569.22</v>
      </c>
      <c r="O127" s="31">
        <v>0</v>
      </c>
      <c r="P127" s="31">
        <v>1872823871.6400001</v>
      </c>
    </row>
    <row r="128" spans="1:16" hidden="1" x14ac:dyDescent="0.35">
      <c r="A128" s="43" t="str">
        <f xml:space="preserve"> _xll.EPMOlapMemberO("[PRODUCT].[PARENTH1].[XLI]","","Livial","","000")</f>
        <v>Livial</v>
      </c>
      <c r="C128" s="31">
        <v>17731304.239999998</v>
      </c>
      <c r="D128" s="31">
        <v>6108611.8399999999</v>
      </c>
      <c r="E128" s="31">
        <v>16178667.75</v>
      </c>
      <c r="F128" s="31">
        <v>10422712.76</v>
      </c>
      <c r="G128" s="31">
        <f t="shared" si="6"/>
        <v>0</v>
      </c>
      <c r="H128" s="31">
        <v>50441296.590000004</v>
      </c>
      <c r="K128" s="31">
        <v>16944819.329999998</v>
      </c>
      <c r="L128" s="31">
        <v>4154334.94</v>
      </c>
      <c r="M128" s="31">
        <v>17237368.109999999</v>
      </c>
      <c r="N128" s="31">
        <v>8723616.4600000009</v>
      </c>
      <c r="O128" s="31">
        <v>0</v>
      </c>
      <c r="P128" s="31">
        <v>47060181.479999997</v>
      </c>
    </row>
    <row r="129" spans="1:16" hidden="1" x14ac:dyDescent="0.35">
      <c r="A129" s="43" t="str">
        <f xml:space="preserve"> _xll.EPMOlapMemberO("[PRODUCT].[PARENTH1].[XEL]","","Estradiol","","000")</f>
        <v>Estradiol</v>
      </c>
      <c r="C129" s="31">
        <v>-16.100000000000001</v>
      </c>
      <c r="E129" s="31">
        <v>12919085.220000001</v>
      </c>
      <c r="F129" s="31">
        <v>2445978.84</v>
      </c>
      <c r="G129" s="31">
        <f t="shared" si="6"/>
        <v>0</v>
      </c>
      <c r="H129" s="31">
        <v>15365047.960000001</v>
      </c>
      <c r="K129" s="31">
        <v>-1214.8399999999999</v>
      </c>
      <c r="M129" s="31">
        <v>12197586.24</v>
      </c>
      <c r="N129" s="31">
        <v>2437163.71</v>
      </c>
      <c r="O129" s="31">
        <v>0</v>
      </c>
      <c r="P129" s="31">
        <v>14633539.52</v>
      </c>
    </row>
    <row r="130" spans="1:16" hidden="1" x14ac:dyDescent="0.35">
      <c r="A130" s="43" t="str">
        <f xml:space="preserve"> _xll.EPMOlapMemberO("[PRODUCT].[PARENTH1].[XPM]","","Prometrium","","000")</f>
        <v>Prometrium</v>
      </c>
      <c r="E130" s="31">
        <v>19515759.420000002</v>
      </c>
      <c r="G130" s="31">
        <f t="shared" si="6"/>
        <v>0</v>
      </c>
      <c r="H130" s="31">
        <v>19515759.420000002</v>
      </c>
      <c r="M130" s="31">
        <v>18740612.34</v>
      </c>
      <c r="O130" s="31">
        <v>0</v>
      </c>
      <c r="P130" s="31">
        <v>18740621.600000001</v>
      </c>
    </row>
    <row r="131" spans="1:16" hidden="1" x14ac:dyDescent="0.35">
      <c r="A131" s="43" t="str">
        <f xml:space="preserve"> _xll.EPMOlapMemberO("[PRODUCT].[PARENTH1].[XWE]","","Duavive","","000")</f>
        <v>Duavive</v>
      </c>
      <c r="E131" s="31">
        <v>-16549.54</v>
      </c>
      <c r="G131" s="31">
        <f t="shared" si="6"/>
        <v>0</v>
      </c>
      <c r="H131" s="31">
        <v>-16549.54</v>
      </c>
      <c r="M131" s="31">
        <v>944769.16</v>
      </c>
      <c r="N131" s="31">
        <v>-6341.9</v>
      </c>
      <c r="O131" s="31">
        <v>0</v>
      </c>
      <c r="P131" s="31">
        <v>938430.59</v>
      </c>
    </row>
    <row r="132" spans="1:16" hidden="1" x14ac:dyDescent="0.35">
      <c r="A132" s="44" t="str">
        <f xml:space="preserve"> _xll.EPMOlapMemberO("[PRODUCT].[PARENTH1].[HORMONES]","","Hormones","","000")</f>
        <v>Hormones</v>
      </c>
      <c r="C132" s="31">
        <v>17731288.140000001</v>
      </c>
      <c r="D132" s="31">
        <v>6108611.8399999999</v>
      </c>
      <c r="E132" s="31">
        <v>48596962.850000001</v>
      </c>
      <c r="F132" s="31">
        <v>12868691.6</v>
      </c>
      <c r="G132" s="31">
        <f t="shared" si="6"/>
        <v>0</v>
      </c>
      <c r="H132" s="31">
        <v>85305554.430000007</v>
      </c>
      <c r="K132" s="31">
        <v>16943604.489999998</v>
      </c>
      <c r="L132" s="31">
        <v>4154334.94</v>
      </c>
      <c r="M132" s="31">
        <v>49120335.850000001</v>
      </c>
      <c r="N132" s="31">
        <v>11154438.27</v>
      </c>
      <c r="O132" s="31">
        <v>0</v>
      </c>
      <c r="P132" s="31">
        <v>81372773.189999998</v>
      </c>
    </row>
    <row r="133" spans="1:16" hidden="1" x14ac:dyDescent="0.35">
      <c r="A133" s="47" t="str">
        <f xml:space="preserve"> _xll.EPMOlapMemberO("[PRODUCT].[PARENTH1].[MXT]","","Maxalt","","000")</f>
        <v>Maxalt</v>
      </c>
      <c r="B133" s="31">
        <v>8161616.4500000002</v>
      </c>
      <c r="C133" s="31">
        <v>6486449.8399999999</v>
      </c>
      <c r="E133" s="31">
        <v>45275837.780000001</v>
      </c>
      <c r="F133" s="31">
        <v>3489961.57</v>
      </c>
      <c r="G133" s="31">
        <f t="shared" si="6"/>
        <v>0</v>
      </c>
      <c r="H133" s="31">
        <v>63413865.640000001</v>
      </c>
      <c r="J133" s="31">
        <v>11693016.75</v>
      </c>
      <c r="K133" s="31">
        <v>9438318.4100000001</v>
      </c>
      <c r="M133" s="31">
        <v>41160805.200000003</v>
      </c>
      <c r="N133" s="31">
        <v>2675537.5</v>
      </c>
      <c r="O133" s="31">
        <v>0</v>
      </c>
      <c r="P133" s="31">
        <v>64967703.950000003</v>
      </c>
    </row>
    <row r="134" spans="1:16" hidden="1" x14ac:dyDescent="0.35">
      <c r="A134" s="47" t="str">
        <f xml:space="preserve"> _xll.EPMOlapMemberO("[PRODUCT].[PARENTH1].[RIZ]","","Rizatriptan Bulk","","000")</f>
        <v>Rizatriptan Bulk</v>
      </c>
      <c r="B134" s="31">
        <v>0</v>
      </c>
      <c r="C134" s="31">
        <v>864493.15</v>
      </c>
      <c r="E134" s="31">
        <v>226440.95999999999</v>
      </c>
      <c r="G134" s="31">
        <f t="shared" si="6"/>
        <v>0</v>
      </c>
      <c r="H134" s="31">
        <v>1090934.1100000001</v>
      </c>
      <c r="K134" s="31">
        <v>842111.44</v>
      </c>
      <c r="M134" s="31">
        <v>1100359.18</v>
      </c>
      <c r="O134" s="31">
        <v>0</v>
      </c>
      <c r="P134" s="31">
        <v>1942468.7</v>
      </c>
    </row>
    <row r="135" spans="1:16" hidden="1" x14ac:dyDescent="0.35">
      <c r="A135" s="43" t="str">
        <f xml:space="preserve"> _xll.EPMOlapMemberO("[PRODUCT].[PARENTH1].[MAXALTPROD]","","Maxalt Products","","000")</f>
        <v>Maxalt Products</v>
      </c>
      <c r="B135" s="31">
        <v>8161616.4500000002</v>
      </c>
      <c r="C135" s="31">
        <v>7350942.9900000002</v>
      </c>
      <c r="E135" s="31">
        <v>45502278.740000002</v>
      </c>
      <c r="F135" s="31">
        <v>3489961.57</v>
      </c>
      <c r="G135" s="31">
        <f t="shared" si="6"/>
        <v>0</v>
      </c>
      <c r="H135" s="31">
        <v>64504799.75</v>
      </c>
      <c r="J135" s="31">
        <v>11693016.75</v>
      </c>
      <c r="K135" s="31">
        <v>10280429.85</v>
      </c>
      <c r="M135" s="31">
        <v>42261164.380000003</v>
      </c>
      <c r="N135" s="31">
        <v>2675537.5</v>
      </c>
      <c r="O135" s="31">
        <v>0</v>
      </c>
      <c r="P135" s="31">
        <v>66910172.649999999</v>
      </c>
    </row>
    <row r="136" spans="1:16" hidden="1" x14ac:dyDescent="0.35">
      <c r="A136" s="43" t="str">
        <f xml:space="preserve"> _xll.EPMOlapMemberO("[PRODUCT].[PARENTH1].[XRE]","","Remeron","","000")</f>
        <v>Remeron</v>
      </c>
      <c r="B136" s="31">
        <v>3198035.22</v>
      </c>
      <c r="C136" s="31">
        <v>15728368.939999999</v>
      </c>
      <c r="D136" s="31">
        <v>18745266.34</v>
      </c>
      <c r="E136" s="31">
        <v>20044235.559999999</v>
      </c>
      <c r="F136" s="31">
        <v>7836617.3700000001</v>
      </c>
      <c r="G136" s="31">
        <f t="shared" si="6"/>
        <v>0</v>
      </c>
      <c r="H136" s="31">
        <v>65552523.43</v>
      </c>
      <c r="J136" s="31">
        <v>2137239.1800000002</v>
      </c>
      <c r="K136" s="31">
        <v>18358173.390000001</v>
      </c>
      <c r="L136" s="31">
        <v>14734541.98</v>
      </c>
      <c r="M136" s="31">
        <v>20624161.920000002</v>
      </c>
      <c r="N136" s="31">
        <v>7731504.5899999999</v>
      </c>
      <c r="O136" s="31">
        <v>0</v>
      </c>
      <c r="P136" s="31">
        <v>63585670.159999996</v>
      </c>
    </row>
    <row r="137" spans="1:16" hidden="1" x14ac:dyDescent="0.35">
      <c r="A137" s="43" t="str">
        <f xml:space="preserve"> _xll.EPMOlapMemberO("[PRODUCT].[PARENTH1].[SINEMETPROD]","","Sinemet Products","","000")</f>
        <v>Sinemet Products</v>
      </c>
      <c r="B137" s="31">
        <v>415188.05</v>
      </c>
      <c r="C137" s="31">
        <v>13496005.34</v>
      </c>
      <c r="D137" s="31">
        <v>1056041.51</v>
      </c>
      <c r="E137" s="31">
        <v>53542249.009999998</v>
      </c>
      <c r="F137" s="31">
        <v>2883826.4</v>
      </c>
      <c r="G137" s="31">
        <f t="shared" si="6"/>
        <v>0</v>
      </c>
      <c r="H137" s="31">
        <v>71393310.310000002</v>
      </c>
      <c r="J137" s="31">
        <v>-575950.28</v>
      </c>
      <c r="K137" s="31">
        <v>15122826.810000001</v>
      </c>
      <c r="L137" s="31">
        <v>3532384.06</v>
      </c>
      <c r="M137" s="31">
        <v>54890588.57</v>
      </c>
      <c r="N137" s="31">
        <v>4322240.5999999996</v>
      </c>
      <c r="O137" s="31">
        <v>0</v>
      </c>
      <c r="P137" s="31">
        <v>77292125.459999993</v>
      </c>
    </row>
    <row r="138" spans="1:16" hidden="1" x14ac:dyDescent="0.35">
      <c r="A138" s="43" t="str">
        <f xml:space="preserve"> _xll.EPMOlapMemberO("[PRODUCT].[PARENTH1].[XSA]","","Saphris","","000")</f>
        <v>Saphris</v>
      </c>
      <c r="B138" s="31">
        <v>20830355.09</v>
      </c>
      <c r="C138" s="31">
        <v>11713832.369999999</v>
      </c>
      <c r="E138" s="31">
        <v>13655907.640000001</v>
      </c>
      <c r="G138" s="31">
        <f t="shared" si="6"/>
        <v>196753.42000000179</v>
      </c>
      <c r="H138" s="31">
        <v>46396848.520000003</v>
      </c>
      <c r="J138" s="31">
        <v>41019402.759999998</v>
      </c>
      <c r="K138" s="31">
        <v>17130234.809999999</v>
      </c>
      <c r="M138" s="31">
        <v>2490199.84</v>
      </c>
      <c r="O138" s="31">
        <v>3.7037250799999999</v>
      </c>
      <c r="P138" s="31">
        <v>65265249.609999999</v>
      </c>
    </row>
    <row r="139" spans="1:16" hidden="1" x14ac:dyDescent="0.35">
      <c r="A139" s="43" t="str">
        <f xml:space="preserve"> _xll.EPMOlapMemberO("[PRODUCT].[PARENTH1].[XMR]","","Tolvon","","000")</f>
        <v>Tolvon</v>
      </c>
      <c r="C139" s="31">
        <v>-235306.72</v>
      </c>
      <c r="E139" s="31">
        <v>3570487.38</v>
      </c>
      <c r="F139" s="31">
        <v>894247.39</v>
      </c>
      <c r="G139" s="31">
        <f t="shared" ref="G139:G159" si="7">H139-SUM(B139:F139)</f>
        <v>0</v>
      </c>
      <c r="H139" s="31">
        <v>4229428.05</v>
      </c>
      <c r="K139" s="31">
        <v>5631694.9800000004</v>
      </c>
      <c r="M139" s="31">
        <v>2848163.57</v>
      </c>
      <c r="N139" s="31">
        <v>2279208.9300000002</v>
      </c>
      <c r="O139" s="31">
        <v>0</v>
      </c>
      <c r="P139" s="31">
        <v>10759086.68</v>
      </c>
    </row>
    <row r="140" spans="1:16" hidden="1" x14ac:dyDescent="0.35">
      <c r="A140" s="43" t="str">
        <f xml:space="preserve"> _xll.EPMOlapMemberO("[PRODUCT].[PARENTH1].[SAP]","","Saphris AG","","000")</f>
        <v>Saphris AG</v>
      </c>
      <c r="G140" s="31">
        <f t="shared" si="7"/>
        <v>0</v>
      </c>
      <c r="O140" s="31">
        <v>0</v>
      </c>
    </row>
    <row r="141" spans="1:16" hidden="1" x14ac:dyDescent="0.35">
      <c r="A141" s="43" t="str">
        <f xml:space="preserve"> _xll.EPMOlapMemberO("[PRODUCT].[PARENTH1].[XRN]","","Reslin","","000")</f>
        <v>Reslin</v>
      </c>
      <c r="C141" s="31">
        <v>2974606.78</v>
      </c>
      <c r="G141" s="31">
        <f t="shared" si="7"/>
        <v>0</v>
      </c>
      <c r="H141" s="31">
        <v>2974606.78</v>
      </c>
      <c r="K141" s="31">
        <v>2117114.79</v>
      </c>
      <c r="O141" s="31">
        <v>0</v>
      </c>
      <c r="P141" s="31">
        <v>2117117.67</v>
      </c>
    </row>
    <row r="142" spans="1:16" hidden="1" x14ac:dyDescent="0.35">
      <c r="A142" s="43" t="str">
        <f xml:space="preserve"> _xll.EPMOlapMemberO("[PRODUCT].[PARENTH1].[TLA]","","Taloxa","","000")</f>
        <v>Taloxa</v>
      </c>
      <c r="C142" s="31">
        <v>1118.24</v>
      </c>
      <c r="E142" s="31">
        <v>5024703.3099999996</v>
      </c>
      <c r="F142" s="31">
        <v>112628.93</v>
      </c>
      <c r="G142" s="31">
        <f t="shared" si="7"/>
        <v>0</v>
      </c>
      <c r="H142" s="31">
        <v>5138450.4800000004</v>
      </c>
      <c r="K142" s="31">
        <v>1605.78</v>
      </c>
      <c r="M142" s="31">
        <v>3724399.09</v>
      </c>
      <c r="N142" s="31">
        <v>19364.71</v>
      </c>
      <c r="O142" s="31">
        <v>0</v>
      </c>
      <c r="P142" s="31">
        <v>3679398.55</v>
      </c>
    </row>
    <row r="143" spans="1:16" hidden="1" x14ac:dyDescent="0.35">
      <c r="A143" s="44" t="str">
        <f xml:space="preserve"> _xll.EPMOlapMemberO("[PRODUCT].[PARENTH1].[LEGACY_CNS]","","Established CNS","","000")</f>
        <v>Established CNS</v>
      </c>
      <c r="B143" s="31">
        <v>32605194.809999999</v>
      </c>
      <c r="C143" s="31">
        <v>51029567.939999998</v>
      </c>
      <c r="D143" s="31">
        <v>19801307.850000001</v>
      </c>
      <c r="E143" s="31">
        <v>141339861.63999999</v>
      </c>
      <c r="F143" s="31">
        <v>15217281.66</v>
      </c>
      <c r="G143" s="31">
        <f t="shared" si="7"/>
        <v>196753.42000001669</v>
      </c>
      <c r="H143" s="31">
        <v>260189967.31999999</v>
      </c>
      <c r="J143" s="31">
        <v>54273708.409999996</v>
      </c>
      <c r="K143" s="31">
        <v>68642080.409999996</v>
      </c>
      <c r="L143" s="31">
        <v>18266926.039999999</v>
      </c>
      <c r="M143" s="31">
        <v>126838677.37</v>
      </c>
      <c r="N143" s="31">
        <v>17027856.329999998</v>
      </c>
      <c r="O143" s="31">
        <v>3.7037250799999999</v>
      </c>
      <c r="P143" s="31">
        <v>289608820.77999997</v>
      </c>
    </row>
    <row r="144" spans="1:16" hidden="1" x14ac:dyDescent="0.35">
      <c r="A144" s="47" t="str">
        <f xml:space="preserve"> _xll.EPMOlapMemberO("[PRODUCT].[PARENTH1].[PROSCARPROD]","","Proscar Products","","000")</f>
        <v>Proscar Products</v>
      </c>
      <c r="B144" s="31">
        <v>1359440.4</v>
      </c>
      <c r="C144" s="31">
        <v>14960587.210000001</v>
      </c>
      <c r="D144" s="31">
        <v>85781313.290000007</v>
      </c>
      <c r="E144" s="31">
        <v>11819194.59</v>
      </c>
      <c r="F144" s="31">
        <v>3578182.52</v>
      </c>
      <c r="G144" s="31">
        <f t="shared" si="7"/>
        <v>0</v>
      </c>
      <c r="H144" s="31">
        <v>117498718.01000001</v>
      </c>
      <c r="J144" s="31">
        <v>1680107.87</v>
      </c>
      <c r="K144" s="31">
        <v>18268184.609999999</v>
      </c>
      <c r="L144" s="31">
        <v>139491866.27000001</v>
      </c>
      <c r="M144" s="31">
        <v>13173600.310000001</v>
      </c>
      <c r="N144" s="31">
        <v>3144414.15</v>
      </c>
      <c r="O144" s="31">
        <v>0</v>
      </c>
      <c r="P144" s="31">
        <v>175758216.25</v>
      </c>
    </row>
    <row r="145" spans="1:16" hidden="1" x14ac:dyDescent="0.35">
      <c r="A145" s="47" t="str">
        <f xml:space="preserve"> _xll.EPMOlapMemberO("[PRODUCT].[PARENTH1].[PROPECIAPROD]","","Propecia Products","","000")</f>
        <v>Propecia Products</v>
      </c>
      <c r="B145" s="31">
        <v>9377888.1999999993</v>
      </c>
      <c r="C145" s="31">
        <v>65135198.939999998</v>
      </c>
      <c r="D145" s="31">
        <v>45011956.659999996</v>
      </c>
      <c r="E145" s="31">
        <v>12968415.449999999</v>
      </c>
      <c r="F145" s="31">
        <v>3846974.97</v>
      </c>
      <c r="G145" s="31">
        <f t="shared" si="7"/>
        <v>0</v>
      </c>
      <c r="H145" s="31">
        <v>136340434.22</v>
      </c>
      <c r="J145" s="31">
        <v>9893567.2599999998</v>
      </c>
      <c r="K145" s="31">
        <v>71035560.269999996</v>
      </c>
      <c r="L145" s="31">
        <v>31862259.32</v>
      </c>
      <c r="M145" s="31">
        <v>13151888.800000001</v>
      </c>
      <c r="N145" s="31">
        <v>3307626.75</v>
      </c>
      <c r="O145" s="31">
        <v>0</v>
      </c>
      <c r="P145" s="31">
        <v>129250940.40000001</v>
      </c>
    </row>
    <row r="146" spans="1:16" hidden="1" x14ac:dyDescent="0.35">
      <c r="A146" s="43" t="str">
        <f xml:space="preserve"> _xll.EPMOlapMemberO("[PRODUCT].[PARENTH1].[UROLOGY]","","Men's Health","","000")</f>
        <v>Men's Health</v>
      </c>
      <c r="B146" s="31">
        <v>10737328.6</v>
      </c>
      <c r="C146" s="31">
        <v>80095786.150000006</v>
      </c>
      <c r="D146" s="31">
        <v>130793269.95</v>
      </c>
      <c r="E146" s="31">
        <v>24787610.039999999</v>
      </c>
      <c r="F146" s="31">
        <v>7425157.4900000002</v>
      </c>
      <c r="G146" s="31">
        <f t="shared" si="7"/>
        <v>0</v>
      </c>
      <c r="H146" s="31">
        <v>253839152.22999999</v>
      </c>
      <c r="J146" s="31">
        <v>11573675.130000001</v>
      </c>
      <c r="K146" s="31">
        <v>89303744.879999995</v>
      </c>
      <c r="L146" s="31">
        <v>171354125.59</v>
      </c>
      <c r="M146" s="31">
        <v>26325489.109999999</v>
      </c>
      <c r="N146" s="31">
        <v>6452040.9000000004</v>
      </c>
      <c r="O146" s="31">
        <v>0</v>
      </c>
      <c r="P146" s="31">
        <v>305009156.64999998</v>
      </c>
    </row>
    <row r="147" spans="1:16" hidden="1" x14ac:dyDescent="0.35">
      <c r="A147" s="43" t="str">
        <f xml:space="preserve"> _xll.EPMOlapMemberO("[PRODUCT].[PARENTH1].[TOTAL_OTH_PHARM_PROD]","","Total Other Pharm Products","","000")</f>
        <v>Total Other Pharm Products</v>
      </c>
      <c r="B147" s="31">
        <v>8350200.6299999999</v>
      </c>
      <c r="C147" s="31">
        <v>-647473.06697110005</v>
      </c>
      <c r="D147" s="31">
        <v>0.02</v>
      </c>
      <c r="E147" s="31">
        <v>-2368647.73</v>
      </c>
      <c r="F147" s="31">
        <v>45412.1</v>
      </c>
      <c r="G147" s="31">
        <f t="shared" si="7"/>
        <v>-643406.25999999885</v>
      </c>
      <c r="H147" s="31">
        <v>4736085.6930288998</v>
      </c>
      <c r="O147" s="31">
        <v>0</v>
      </c>
    </row>
    <row r="148" spans="1:16" hidden="1" x14ac:dyDescent="0.35">
      <c r="A148" s="43" t="str">
        <f xml:space="preserve"> _xll.EPMOlapMemberO("[PRODUCT].[PARENTH1].[CTZ]","","Cotazym","","000")</f>
        <v>Cotazym</v>
      </c>
      <c r="E148" s="31">
        <v>8934569.2699999996</v>
      </c>
      <c r="G148" s="31">
        <f t="shared" si="7"/>
        <v>0</v>
      </c>
      <c r="H148" s="31">
        <v>8934569.2699999996</v>
      </c>
      <c r="M148" s="31">
        <v>7209441.7199999997</v>
      </c>
      <c r="O148" s="31">
        <v>0</v>
      </c>
      <c r="P148" s="31">
        <v>7209441.7199999997</v>
      </c>
    </row>
    <row r="149" spans="1:16" hidden="1" x14ac:dyDescent="0.35">
      <c r="A149" s="43" t="str">
        <f xml:space="preserve"> _xll.EPMOlapMemberO("[PRODUCT].[PARENTH1].[PPT]","","Pregcolor Pregnancy Test","","000")</f>
        <v>Pregcolor Pregnancy Test</v>
      </c>
      <c r="F149" s="31">
        <v>526044.91</v>
      </c>
      <c r="G149" s="31">
        <f t="shared" si="7"/>
        <v>0</v>
      </c>
      <c r="H149" s="31">
        <v>526044.91</v>
      </c>
      <c r="O149" s="31">
        <v>0</v>
      </c>
    </row>
    <row r="150" spans="1:16" hidden="1" x14ac:dyDescent="0.35">
      <c r="A150" s="43" t="str">
        <f xml:space="preserve"> _xll.EPMOlapMemberO("[PRODUCT].[PARENTH1].[MIG]","","Branded Generics - Established","","000")</f>
        <v>Branded Generics - Established</v>
      </c>
      <c r="B150" s="31">
        <v>0</v>
      </c>
      <c r="G150" s="31">
        <f t="shared" si="7"/>
        <v>0</v>
      </c>
      <c r="H150" s="31">
        <v>0</v>
      </c>
      <c r="O150" s="31">
        <v>0</v>
      </c>
    </row>
    <row r="151" spans="1:16" hidden="1" x14ac:dyDescent="0.35">
      <c r="A151" s="43" t="str">
        <f xml:space="preserve"> _xll.EPMOlapMemberO("[PRODUCT].[PARENTH1].[AUX]","","Auxiliary Components","","000")</f>
        <v>Auxiliary Components</v>
      </c>
      <c r="G151" s="31">
        <f t="shared" si="7"/>
        <v>0</v>
      </c>
      <c r="O151" s="31">
        <v>0</v>
      </c>
    </row>
    <row r="152" spans="1:16" hidden="1" x14ac:dyDescent="0.35">
      <c r="A152" s="44" t="str">
        <f xml:space="preserve"> _xll.EPMOlapMemberO("[PRODUCT].[PARENTH1].[OTHER_LEGACY]","","Other Established","","000")</f>
        <v>Other Established</v>
      </c>
      <c r="B152" s="31">
        <v>19087529.23</v>
      </c>
      <c r="C152" s="31">
        <v>79448313.083028898</v>
      </c>
      <c r="D152" s="31">
        <v>130793269.97</v>
      </c>
      <c r="E152" s="31">
        <v>31353531.579999998</v>
      </c>
      <c r="F152" s="31">
        <v>7996614.5</v>
      </c>
      <c r="G152" s="31">
        <f t="shared" si="7"/>
        <v>-643406.25999999046</v>
      </c>
      <c r="H152" s="31">
        <v>268035852.10302889</v>
      </c>
      <c r="J152" s="31">
        <v>11573675.130000001</v>
      </c>
      <c r="K152" s="31">
        <v>89303744.879999995</v>
      </c>
      <c r="L152" s="31">
        <v>171354125.59</v>
      </c>
      <c r="M152" s="31">
        <v>33534930.829999998</v>
      </c>
      <c r="N152" s="31">
        <v>6452040.9000000004</v>
      </c>
      <c r="O152" s="31">
        <v>0</v>
      </c>
      <c r="P152" s="31">
        <v>312218598.37</v>
      </c>
    </row>
    <row r="153" spans="1:16" hidden="1" x14ac:dyDescent="0.35">
      <c r="A153" s="49" t="str">
        <f xml:space="preserve"> _xll.EPMOlapMemberO("[PRODUCT].[PARENTH1].[LEGACY_OTHER]","","Established Other","","000")</f>
        <v>Established Other</v>
      </c>
      <c r="B153" s="31">
        <v>51692724.039999999</v>
      </c>
      <c r="C153" s="31">
        <v>148209169.1630289</v>
      </c>
      <c r="D153" s="31">
        <v>156703189.66</v>
      </c>
      <c r="E153" s="31">
        <v>221290356.06999999</v>
      </c>
      <c r="F153" s="31">
        <v>36082587.759999998</v>
      </c>
      <c r="G153" s="31">
        <f t="shared" si="7"/>
        <v>-446652.84000003338</v>
      </c>
      <c r="H153" s="31">
        <v>613531373.85302889</v>
      </c>
      <c r="J153" s="31">
        <v>65847383.539999999</v>
      </c>
      <c r="K153" s="31">
        <v>174889429.78</v>
      </c>
      <c r="L153" s="31">
        <v>193775386.56999999</v>
      </c>
      <c r="M153" s="31">
        <v>209493944.05000001</v>
      </c>
      <c r="N153" s="31">
        <v>34634335.5</v>
      </c>
      <c r="O153" s="31">
        <v>0</v>
      </c>
      <c r="P153" s="31">
        <v>683200192.34000003</v>
      </c>
    </row>
    <row r="154" spans="1:16" hidden="1" x14ac:dyDescent="0.35">
      <c r="A154" s="46" t="str">
        <f xml:space="preserve"> _xll.EPMOlapMemberO("[PRODUCT].[PARENTH1].[LEGACY_BRANDS]","","Established Brands","","000")</f>
        <v>Established Brands</v>
      </c>
      <c r="B154" s="31">
        <v>343976960.11000001</v>
      </c>
      <c r="C154" s="31">
        <v>1008356673.7298226</v>
      </c>
      <c r="D154" s="31">
        <v>857842869.77999997</v>
      </c>
      <c r="E154" s="31">
        <v>1300718062.6400001</v>
      </c>
      <c r="F154" s="31">
        <v>555705964.21000004</v>
      </c>
      <c r="G154" s="31">
        <f t="shared" si="7"/>
        <v>1046543.3099994659</v>
      </c>
      <c r="H154" s="31">
        <v>4067647073.7798223</v>
      </c>
      <c r="J154" s="31">
        <v>418944777.58999997</v>
      </c>
      <c r="K154" s="31">
        <v>1388919596.1800001</v>
      </c>
      <c r="L154" s="31">
        <v>816393073.78999996</v>
      </c>
      <c r="M154" s="31">
        <v>1326070004.4100001</v>
      </c>
      <c r="N154" s="31">
        <v>584677819.59000003</v>
      </c>
      <c r="O154" s="31">
        <v>0</v>
      </c>
      <c r="P154" s="31">
        <v>4539900162.9899998</v>
      </c>
    </row>
    <row r="155" spans="1:16" hidden="1" x14ac:dyDescent="0.35">
      <c r="A155" s="51" t="str">
        <f xml:space="preserve"> _xll.EPMOlapMemberO("[PRODUCT].[PARENTH1].[ORGANON_TOTAL]","","Organon","","000")</f>
        <v>Organon</v>
      </c>
      <c r="B155" s="31">
        <v>1387137581.27</v>
      </c>
      <c r="C155" s="31">
        <v>1172689208.0713105</v>
      </c>
      <c r="D155" s="31">
        <v>932876748.67999995</v>
      </c>
      <c r="E155" s="31">
        <v>1767470697.27</v>
      </c>
      <c r="F155" s="31">
        <v>842283598.03999996</v>
      </c>
      <c r="G155" s="31">
        <f t="shared" si="7"/>
        <v>1046543.3100004196</v>
      </c>
      <c r="H155" s="31">
        <v>6103504376.6413107</v>
      </c>
      <c r="J155" s="31">
        <v>1404504256.3900001</v>
      </c>
      <c r="K155" s="31">
        <v>1534062697.0599999</v>
      </c>
      <c r="L155" s="31">
        <v>872992601.85000002</v>
      </c>
      <c r="M155" s="31">
        <v>1751217111.9000001</v>
      </c>
      <c r="N155" s="31">
        <v>857413949.26999998</v>
      </c>
      <c r="O155" s="31">
        <v>0</v>
      </c>
      <c r="P155" s="31">
        <v>6424970595.5699997</v>
      </c>
    </row>
    <row r="156" spans="1:16" hidden="1" x14ac:dyDescent="0.35">
      <c r="A156" s="51" t="str">
        <f xml:space="preserve"> _xll.EPMOlapMemberO("[PRODUCT].[PARENTH1].[XXX]","","Not Product Specific","","000")</f>
        <v>Not Product Specific</v>
      </c>
      <c r="B156" s="31">
        <v>-4522373.9800000004</v>
      </c>
      <c r="C156" s="31">
        <v>664.72</v>
      </c>
      <c r="D156" s="31">
        <v>-0.02</v>
      </c>
      <c r="E156" s="31">
        <v>-26226131.850000001</v>
      </c>
      <c r="F156" s="31">
        <v>-1716616.36</v>
      </c>
      <c r="G156" s="31">
        <f t="shared" si="7"/>
        <v>233307528.76337171</v>
      </c>
      <c r="H156" s="31">
        <v>200843071.2733717</v>
      </c>
      <c r="J156" s="31">
        <v>3795152.63</v>
      </c>
      <c r="K156" s="31">
        <v>1025875.22</v>
      </c>
      <c r="M156" s="31">
        <v>-25219081.859999999</v>
      </c>
      <c r="N156" s="31">
        <v>-272499.83</v>
      </c>
      <c r="O156" s="31">
        <v>0</v>
      </c>
      <c r="P156" s="31">
        <v>107470201.36</v>
      </c>
    </row>
    <row r="157" spans="1:16" hidden="1" x14ac:dyDescent="0.35">
      <c r="A157" s="51" t="str">
        <f xml:space="preserve"> _xll.EPMOlapMemberO("[PRODUCT].[PARENTH1].[TBA]","","To be Allocated","","000")</f>
        <v>To be Allocated</v>
      </c>
      <c r="G157" s="31">
        <f t="shared" si="7"/>
        <v>0</v>
      </c>
      <c r="O157" s="31">
        <v>0</v>
      </c>
    </row>
    <row r="158" spans="1:16" hidden="1" x14ac:dyDescent="0.35">
      <c r="A158" s="51" t="str">
        <f xml:space="preserve"> _xll.EPMOlapMemberO("[PRODUCT].[PARENTH1].[MRK_TOT]","","Merck Products","","000")</f>
        <v>Merck Products</v>
      </c>
      <c r="C158" s="31">
        <v>-21079.332268099999</v>
      </c>
      <c r="E158" s="31">
        <v>-33282.080000000002</v>
      </c>
      <c r="F158" s="31">
        <v>87391.63</v>
      </c>
      <c r="G158" s="31">
        <f t="shared" si="7"/>
        <v>0</v>
      </c>
      <c r="H158" s="31">
        <v>33030.217731899997</v>
      </c>
      <c r="O158" s="31">
        <v>0</v>
      </c>
    </row>
    <row r="159" spans="1:16" hidden="1" x14ac:dyDescent="0.35">
      <c r="A159" s="42" t="str">
        <f xml:space="preserve"> _xll.EPMOlapMemberO("[PRODUCT].[PARENTH1].[PRODUCT]","","Total NewCo Products","","000")</f>
        <v>Total NewCo Products</v>
      </c>
      <c r="B159" s="31">
        <v>1382615207.29</v>
      </c>
      <c r="C159" s="31">
        <v>1172668793.4590423</v>
      </c>
      <c r="D159" s="31">
        <v>932876748.65999997</v>
      </c>
      <c r="E159" s="31">
        <v>1741211283.3399999</v>
      </c>
      <c r="F159" s="31">
        <v>840654373.30999994</v>
      </c>
      <c r="G159" s="31">
        <f t="shared" si="7"/>
        <v>234354072.07337284</v>
      </c>
      <c r="H159" s="31">
        <v>6304380478.1324148</v>
      </c>
      <c r="J159" s="31">
        <v>1408299409.02</v>
      </c>
      <c r="K159" s="31">
        <v>1535088572.28</v>
      </c>
      <c r="L159" s="31">
        <v>872992601.85000002</v>
      </c>
      <c r="M159" s="31">
        <v>1725998030.04</v>
      </c>
      <c r="N159" s="31">
        <v>857141449.44000006</v>
      </c>
      <c r="O159" s="31">
        <v>0</v>
      </c>
      <c r="P159" s="31">
        <v>6532440796.9300003</v>
      </c>
    </row>
  </sheetData>
  <pageMargins left="0.7" right="0.7" top="0.75" bottom="0.75" header="0.3" footer="0.3"/>
  <pageSetup orientation="portrait" r:id="rId1"/>
  <headerFooter>
    <oddHeader>&amp;L&amp;"Calibri"&amp;12&amp;K00B294[Organon] Proprietary&amp;1#</oddHead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3313" r:id="rId7" name="ConnectionDescriptorsInfo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3" r:id="rId7" name="ConnectionDescriptorsInfotb1"/>
      </mc:Fallback>
    </mc:AlternateContent>
    <mc:AlternateContent xmlns:mc="http://schemas.openxmlformats.org/markup-compatibility/2006">
      <mc:Choice Requires="x14">
        <control shapeId="13314" r:id="rId9" name="MultipleReportManagerInfo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4" r:id="rId9" name="MultipleReportManagerInfotb1"/>
      </mc:Fallback>
    </mc:AlternateContent>
    <mc:AlternateContent xmlns:mc="http://schemas.openxmlformats.org/markup-compatibility/2006">
      <mc:Choice Requires="x14">
        <control shapeId="13315" r:id="rId11" name="FPMExcelClientSheetOptions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5" r:id="rId11" name="FPMExcelClientSheetOptionstb1"/>
      </mc:Fallback>
    </mc:AlternateContent>
    <mc:AlternateContent xmlns:mc="http://schemas.openxmlformats.org/markup-compatibility/2006">
      <mc:Choice Requires="x14">
        <control shapeId="13316" r:id="rId13" name="AnalyzerDynReport000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6" r:id="rId13" name="AnalyzerDynReport000tb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543A2-3CB9-430D-96AB-A4F99629A253}">
  <sheetPr codeName="Sheet2">
    <pageSetUpPr autoPageBreaks="0"/>
  </sheetPr>
  <dimension ref="A1:Q159"/>
  <sheetViews>
    <sheetView workbookViewId="0">
      <pane xSplit="1" ySplit="6" topLeftCell="B28" activePane="bottomRight" state="frozen"/>
      <selection activeCell="H53" sqref="H53"/>
      <selection pane="topRight" activeCell="H53" sqref="H53"/>
      <selection pane="bottomLeft" activeCell="H53" sqref="H53"/>
      <selection pane="bottomRight" activeCell="H53" sqref="H53"/>
    </sheetView>
  </sheetViews>
  <sheetFormatPr defaultRowHeight="14.5" x14ac:dyDescent="0.35"/>
  <cols>
    <col min="1" max="1" width="35.54296875" bestFit="1" customWidth="1"/>
    <col min="2" max="2" width="20.7265625" style="31" bestFit="1" customWidth="1"/>
    <col min="3" max="6" width="15.26953125" style="31" bestFit="1" customWidth="1"/>
    <col min="7" max="7" width="11" style="31" bestFit="1" customWidth="1"/>
    <col min="8" max="8" width="21.54296875" style="31" bestFit="1" customWidth="1"/>
    <col min="9" max="9" width="4.26953125" style="31" customWidth="1"/>
    <col min="10" max="14" width="15.26953125" style="31" bestFit="1" customWidth="1"/>
    <col min="15" max="15" width="14.26953125" style="31" bestFit="1" customWidth="1"/>
    <col min="16" max="16" width="21.54296875" style="31" bestFit="1" customWidth="1"/>
  </cols>
  <sheetData>
    <row r="1" spans="1:16" x14ac:dyDescent="0.35">
      <c r="A1" s="39" t="str">
        <f xml:space="preserve"> _xll.EPMOlapMemberO("[CATEGORY].[PARENTH1].[ACTUAL]","","ACTUAL - Actual Results","","000")</f>
        <v>ACTUAL - Actual Results</v>
      </c>
    </row>
    <row r="2" spans="1:16" x14ac:dyDescent="0.35">
      <c r="A2" s="39" t="str">
        <f xml:space="preserve"> _xll.EPMOlapMemberO("[REPORTING_LINE].[PARENTH1].[F_NET_SALES]","","F_NET_SALES - Net Sales","","000")</f>
        <v>F_NET_SALES - Net Sales</v>
      </c>
    </row>
    <row r="4" spans="1:16" x14ac:dyDescent="0.35">
      <c r="B4" s="37" t="str">
        <f xml:space="preserve"> _xll.EPMOlapMemberO("[TIME].[PARENTH1].[2021.12]","","2021.12 - Dec-21","","000")</f>
        <v>2021.12 - Dec-21</v>
      </c>
      <c r="C4" s="37"/>
      <c r="D4" s="37"/>
      <c r="E4" s="37"/>
      <c r="F4" s="37"/>
      <c r="G4" s="38"/>
      <c r="H4" s="37"/>
      <c r="I4" s="38"/>
      <c r="J4" s="37" t="str">
        <f xml:space="preserve"> _xll.EPMOlapMemberO("[TIME].[PARENTH1].[2020.12]","","2020.12 - Dec-20","","000")</f>
        <v>2020.12 - Dec-20</v>
      </c>
      <c r="K4" s="32"/>
      <c r="L4" s="32"/>
      <c r="M4" s="32"/>
      <c r="N4" s="32"/>
      <c r="P4" s="32"/>
    </row>
    <row r="5" spans="1:16" x14ac:dyDescent="0.35">
      <c r="B5" s="32" t="str">
        <f xml:space="preserve"> _xll.EPMOlapMemberO("[MEASURES].[].[QTD]","","QTD - Quarter To Date","","000")</f>
        <v>QTD - Quarter To Date</v>
      </c>
      <c r="C5" s="32"/>
      <c r="D5" s="32"/>
      <c r="E5" s="32"/>
      <c r="F5" s="32"/>
      <c r="H5" s="32"/>
      <c r="J5" s="32" t="str">
        <f xml:space="preserve"> _xll.EPMOlapMemberO("[MEASURES].[].[QTD]","","QTD - Quarter To Date","","000")</f>
        <v>QTD - Quarter To Date</v>
      </c>
      <c r="K5" s="32"/>
      <c r="L5" s="32"/>
      <c r="M5" s="32"/>
      <c r="N5" s="32"/>
      <c r="P5" s="32"/>
    </row>
    <row r="6" spans="1:16" x14ac:dyDescent="0.35">
      <c r="B6" s="32" t="str">
        <f xml:space="preserve"> _xll.EPMOlapMemberO("[ORGANIZATION].[PARENTH1].[OCO_USPR]","","US and Puerto Rico","","000")</f>
        <v>US and Puerto Rico</v>
      </c>
      <c r="C6" s="32" t="str">
        <f xml:space="preserve"> _xll.EPMOlapMemberO("[ORGANIZATION].[PARENTH1].[OCO_APAC]","","APAC","","000")</f>
        <v>APAC</v>
      </c>
      <c r="D6" s="32" t="str">
        <f xml:space="preserve"> _xll.EPMOlapMemberO("[ORGANIZATION].[PARENTH1].[OCO_CN]","","China Total","","000")</f>
        <v>China Total</v>
      </c>
      <c r="E6" s="32" t="str">
        <f xml:space="preserve"> _xll.EPMOlapMemberO("[ORGANIZATION].[PARENTH1].[OCO_EUCAN]","","Europe &amp; Canada","","000")</f>
        <v>Europe &amp; Canada</v>
      </c>
      <c r="F6" s="32" t="str">
        <f xml:space="preserve"> _xll.EPMOlapMemberO("[ORGANIZATION].[PARENTH1].[OCO_EEMEA_LATAM]","","LAMERA","","000")</f>
        <v>LAMERA</v>
      </c>
      <c r="G6" s="31" t="s">
        <v>2</v>
      </c>
      <c r="H6" s="32" t="str">
        <f xml:space="preserve"> _xll.EPMOlapMemberO("[ORGANIZATION].[PARENTH1].[ORGANON]","","Organon - All Divisions","","000")</f>
        <v>Organon - All Divisions</v>
      </c>
      <c r="J6" s="32" t="str">
        <f xml:space="preserve"> _xll.EPMOlapMemberO("[ORGANIZATION].[PARENTH1].[OCO_USPR]","","US and Puerto Rico","","000")</f>
        <v>US and Puerto Rico</v>
      </c>
      <c r="K6" s="32" t="str">
        <f xml:space="preserve"> _xll.EPMOlapMemberO("[ORGANIZATION].[PARENTH1].[OCO_APAC]","","APAC","","000")</f>
        <v>APAC</v>
      </c>
      <c r="L6" s="32" t="str">
        <f xml:space="preserve"> _xll.EPMOlapMemberO("[ORGANIZATION].[PARENTH1].[OCO_CN]","","China Total","","000")</f>
        <v>China Total</v>
      </c>
      <c r="M6" s="32" t="str">
        <f xml:space="preserve"> _xll.EPMOlapMemberO("[ORGANIZATION].[PARENTH1].[OCO_EUCAN]","","Europe &amp; Canada","","000")</f>
        <v>Europe &amp; Canada</v>
      </c>
      <c r="N6" s="32" t="str">
        <f xml:space="preserve"> _xll.EPMOlapMemberO("[ORGANIZATION].[PARENTH1].[OCO_EEMEA_LATAM]","","LAMERA","","000")</f>
        <v>LAMERA</v>
      </c>
      <c r="O6" s="31" t="s">
        <v>2</v>
      </c>
      <c r="P6" s="32" t="str">
        <f xml:space="preserve"> _xll.EPMOlapMemberO("[ORGANIZATION].[PARENTH1].[ORGANON]","","Organon - All Divisions","","000")</f>
        <v>Organon - All Divisions</v>
      </c>
    </row>
    <row r="7" spans="1:16" x14ac:dyDescent="0.35">
      <c r="A7" s="33"/>
    </row>
    <row r="8" spans="1:16" hidden="1" x14ac:dyDescent="0.35">
      <c r="A8" s="43" t="str">
        <f xml:space="preserve"> _xll.EPMOlapMemberO("[PRODUCT].[PARENTH1].[XPL]","","Nexplanon","","000")</f>
        <v>Nexplanon</v>
      </c>
      <c r="B8" s="31">
        <v>143329390.75999999</v>
      </c>
      <c r="C8" s="31">
        <v>7680201.0899999999</v>
      </c>
      <c r="D8" s="31">
        <v>93120.3</v>
      </c>
      <c r="E8" s="31">
        <v>23394625.899999999</v>
      </c>
      <c r="F8" s="31">
        <v>51765485.630000003</v>
      </c>
      <c r="G8" s="31">
        <v>0</v>
      </c>
      <c r="H8" s="31">
        <v>226262823.68000001</v>
      </c>
      <c r="J8" s="31">
        <v>114133331.58</v>
      </c>
      <c r="K8" s="31">
        <v>9634594.4299999997</v>
      </c>
      <c r="L8" s="31">
        <v>62617.67</v>
      </c>
      <c r="M8" s="31">
        <v>23472673.43</v>
      </c>
      <c r="N8" s="31">
        <v>17253859.690000001</v>
      </c>
      <c r="O8" s="31">
        <v>0</v>
      </c>
      <c r="P8" s="31">
        <v>164557077.06</v>
      </c>
    </row>
    <row r="9" spans="1:16" hidden="1" x14ac:dyDescent="0.35">
      <c r="A9" s="43" t="str">
        <f xml:space="preserve"> _xll.EPMOlapMemberO("[PRODUCT].[PARENTH1].[ITA]","","Implanon Training Applicator","","000")</f>
        <v>Implanon Training Applicator</v>
      </c>
      <c r="B9" s="31">
        <v>-1393.85</v>
      </c>
      <c r="F9" s="31">
        <v>-14982.83</v>
      </c>
      <c r="H9" s="31">
        <v>-16376.68</v>
      </c>
    </row>
    <row r="10" spans="1:16" x14ac:dyDescent="0.35">
      <c r="A10" s="56" t="s">
        <v>51</v>
      </c>
      <c r="B10" s="31">
        <f>SUM(B8:B9)</f>
        <v>143327996.91</v>
      </c>
      <c r="C10" s="31">
        <f t="shared" ref="C10:H10" si="0">SUM(C8:C9)</f>
        <v>7680201.0899999999</v>
      </c>
      <c r="D10" s="31">
        <f t="shared" si="0"/>
        <v>93120.3</v>
      </c>
      <c r="E10" s="31">
        <f t="shared" si="0"/>
        <v>23394625.899999999</v>
      </c>
      <c r="F10" s="31">
        <f t="shared" si="0"/>
        <v>51750502.800000004</v>
      </c>
      <c r="G10" s="31">
        <f>H10-SUM(B10:F10)</f>
        <v>0</v>
      </c>
      <c r="H10" s="31">
        <f t="shared" si="0"/>
        <v>226246447</v>
      </c>
      <c r="J10" s="31">
        <f>SUM(J8:J9)</f>
        <v>114133331.58</v>
      </c>
      <c r="K10" s="31">
        <f t="shared" ref="K10:P10" si="1">SUM(K8:K9)</f>
        <v>9634594.4299999997</v>
      </c>
      <c r="L10" s="31">
        <f t="shared" si="1"/>
        <v>62617.67</v>
      </c>
      <c r="M10" s="31">
        <f t="shared" si="1"/>
        <v>23472673.43</v>
      </c>
      <c r="N10" s="31">
        <f t="shared" si="1"/>
        <v>17253859.690000001</v>
      </c>
      <c r="O10" s="31">
        <f>P10-SUM(J10:N10)</f>
        <v>0.26000002026557922</v>
      </c>
      <c r="P10" s="31">
        <f t="shared" si="1"/>
        <v>164557077.06</v>
      </c>
    </row>
    <row r="11" spans="1:16" x14ac:dyDescent="0.35">
      <c r="A11" s="44" t="str">
        <f xml:space="preserve"> _xll.EPMOlapMemberO("[PRODUCT].[PARENTH1].[XPU]","","Follistim Puregon","","000")</f>
        <v>Follistim Puregon</v>
      </c>
      <c r="B11" s="31">
        <v>29203583.890000001</v>
      </c>
      <c r="C11" s="31">
        <v>5483821.25</v>
      </c>
      <c r="D11" s="31">
        <v>11954002.960000001</v>
      </c>
      <c r="E11" s="31">
        <v>9930341.5500000007</v>
      </c>
      <c r="F11" s="31">
        <v>2879987.27</v>
      </c>
      <c r="G11" s="31">
        <f t="shared" ref="G11:G74" si="2">H11-SUM(B11:F11)</f>
        <v>0</v>
      </c>
      <c r="H11" s="31">
        <v>59451736.920000002</v>
      </c>
      <c r="J11" s="31">
        <v>24164490.289999999</v>
      </c>
      <c r="K11" s="31">
        <v>4834310.79</v>
      </c>
      <c r="L11" s="31">
        <v>13648800.83</v>
      </c>
      <c r="M11" s="31">
        <v>12856387.98</v>
      </c>
      <c r="N11" s="31">
        <v>1556761.78</v>
      </c>
      <c r="O11" s="31">
        <f t="shared" ref="O11:O53" si="3">P11-SUM(J11:N11)</f>
        <v>0.53999999910593033</v>
      </c>
      <c r="P11" s="31">
        <v>57060752.210000001</v>
      </c>
    </row>
    <row r="12" spans="1:16" x14ac:dyDescent="0.35">
      <c r="A12" s="43" t="str">
        <f xml:space="preserve"> _xll.EPMOlapMemberO("[PRODUCT].[PARENTH1].[XNU]","","Nuvaring","","000")</f>
        <v>Nuvaring</v>
      </c>
      <c r="B12" s="31">
        <v>17558678.739999998</v>
      </c>
      <c r="C12" s="31">
        <v>497869.16</v>
      </c>
      <c r="E12" s="31">
        <v>17105844.460000001</v>
      </c>
      <c r="F12" s="31">
        <v>8959640.4499999993</v>
      </c>
      <c r="G12" s="31">
        <f t="shared" si="2"/>
        <v>0</v>
      </c>
      <c r="H12" s="31">
        <v>44122032.810000002</v>
      </c>
      <c r="J12" s="31">
        <v>24960772.960000001</v>
      </c>
      <c r="K12" s="31">
        <v>663822.53</v>
      </c>
      <c r="M12" s="31">
        <v>21012215.940000001</v>
      </c>
      <c r="N12" s="31">
        <v>6294235.1299999999</v>
      </c>
      <c r="O12" s="31">
        <f t="shared" si="3"/>
        <v>4.9999989569187164E-2</v>
      </c>
      <c r="P12" s="31">
        <v>52931046.609999999</v>
      </c>
    </row>
    <row r="13" spans="1:16" x14ac:dyDescent="0.35">
      <c r="A13" s="44" t="str">
        <f xml:space="preserve"> _xll.EPMOlapMemberO("[PRODUCT].[PARENTH1].[XGL]","","Orgalutran","","000")</f>
        <v>Orgalutran</v>
      </c>
      <c r="B13" s="31">
        <v>3474673.51</v>
      </c>
      <c r="C13" s="31">
        <v>4749144.0199999996</v>
      </c>
      <c r="D13" s="31">
        <v>4406536.54</v>
      </c>
      <c r="E13" s="31">
        <v>9632715.6099999994</v>
      </c>
      <c r="F13" s="31">
        <v>3318523.07</v>
      </c>
      <c r="G13" s="31">
        <f t="shared" si="2"/>
        <v>0</v>
      </c>
      <c r="H13" s="31">
        <v>25581592.75</v>
      </c>
      <c r="J13" s="31">
        <v>4319807.07</v>
      </c>
      <c r="K13" s="31">
        <v>5446134.7199999997</v>
      </c>
      <c r="L13" s="31">
        <v>4377191.71</v>
      </c>
      <c r="M13" s="31">
        <v>8801085.5299999993</v>
      </c>
      <c r="N13" s="31">
        <v>2111706.7799999998</v>
      </c>
      <c r="O13" s="31">
        <f t="shared" si="3"/>
        <v>0.56999999657273293</v>
      </c>
      <c r="P13" s="31">
        <v>25055926.379999999</v>
      </c>
    </row>
    <row r="14" spans="1:16" x14ac:dyDescent="0.35">
      <c r="A14" s="43" t="str">
        <f xml:space="preserve"> _xll.EPMOlapMemberO("[PRODUCT].[PARENTH1].[XCE]","","Cerazette","","000")</f>
        <v>Cerazette</v>
      </c>
      <c r="C14" s="31">
        <v>546778.93000000005</v>
      </c>
      <c r="E14" s="31">
        <v>11309080.050000001</v>
      </c>
      <c r="F14" s="31">
        <v>5760329.71</v>
      </c>
      <c r="G14" s="31">
        <f t="shared" si="2"/>
        <v>0</v>
      </c>
      <c r="H14" s="31">
        <v>17616188.690000001</v>
      </c>
      <c r="K14" s="31">
        <v>568038.19999999995</v>
      </c>
      <c r="M14" s="31">
        <v>11493507.439999999</v>
      </c>
      <c r="N14" s="31">
        <v>3848543.14</v>
      </c>
      <c r="O14" s="31">
        <f t="shared" si="3"/>
        <v>0.31000000052154064</v>
      </c>
      <c r="P14" s="31">
        <v>15910089.09</v>
      </c>
    </row>
    <row r="15" spans="1:16" x14ac:dyDescent="0.35">
      <c r="A15" s="34" t="s">
        <v>55</v>
      </c>
      <c r="B15" s="31">
        <f>(B16-SUM(B10:B14))</f>
        <v>13649050.810000002</v>
      </c>
      <c r="C15" s="31">
        <f t="shared" ref="C15:F15" si="4">(C16-SUM(C10:C14))</f>
        <v>11093328.359999999</v>
      </c>
      <c r="D15" s="31">
        <f t="shared" si="4"/>
        <v>0</v>
      </c>
      <c r="E15" s="31">
        <f t="shared" si="4"/>
        <v>8474985.4200000018</v>
      </c>
      <c r="F15" s="31">
        <f t="shared" si="4"/>
        <v>8730502.599999994</v>
      </c>
      <c r="G15" s="31">
        <f t="shared" si="2"/>
        <v>0</v>
      </c>
      <c r="H15" s="31">
        <f>(H16-SUM(H10:H14))</f>
        <v>41947867.189999998</v>
      </c>
      <c r="J15" s="31">
        <f>(J16-SUM(J10:J14))</f>
        <v>44790498.829999983</v>
      </c>
      <c r="K15" s="31">
        <f>(K16-SUM(K10:K14))</f>
        <v>12570990.460000005</v>
      </c>
      <c r="L15" s="31">
        <f>(L16-SUM(L10:L14))</f>
        <v>0</v>
      </c>
      <c r="M15" s="31">
        <f>(M16-SUM(M10:M14))</f>
        <v>10031049.860000014</v>
      </c>
      <c r="N15" s="31">
        <f>(N16-SUM(N10:N14))</f>
        <v>7653767.099999994</v>
      </c>
      <c r="O15" s="31">
        <f t="shared" si="3"/>
        <v>-115293.92999994755</v>
      </c>
      <c r="P15" s="31">
        <f>(P16-SUM(P10:P14))</f>
        <v>74931012.320000052</v>
      </c>
    </row>
    <row r="16" spans="1:16" s="36" customFormat="1" x14ac:dyDescent="0.35">
      <c r="A16" s="45" t="str">
        <f xml:space="preserve"> _xll.EPMOlapMemberO("[PRODUCT].[PARENTH1].[WOMENS_HEALTH]","","Total Women's Health","","000")</f>
        <v>Total Women's Health</v>
      </c>
      <c r="B16" s="35">
        <v>207213983.86000001</v>
      </c>
      <c r="C16" s="35">
        <v>30051142.809999999</v>
      </c>
      <c r="D16" s="35">
        <v>16453659.800000001</v>
      </c>
      <c r="E16" s="35">
        <v>79847592.989999995</v>
      </c>
      <c r="F16" s="35">
        <v>81399485.900000006</v>
      </c>
      <c r="G16" s="35">
        <f t="shared" si="2"/>
        <v>0</v>
      </c>
      <c r="H16" s="35">
        <v>414965865.36000001</v>
      </c>
      <c r="I16" s="35"/>
      <c r="J16" s="35">
        <v>212368900.72999999</v>
      </c>
      <c r="K16" s="35">
        <v>33717891.130000003</v>
      </c>
      <c r="L16" s="35">
        <v>18088610.210000001</v>
      </c>
      <c r="M16" s="35">
        <v>87666920.180000007</v>
      </c>
      <c r="N16" s="35">
        <v>38718873.619999997</v>
      </c>
      <c r="O16" s="35">
        <f t="shared" si="3"/>
        <v>-115292.19999998808</v>
      </c>
      <c r="P16" s="35">
        <v>390445903.67000002</v>
      </c>
    </row>
    <row r="17" spans="1:16" x14ac:dyDescent="0.35">
      <c r="A17" s="44" t="str">
        <f xml:space="preserve"> _xll.EPMOlapMemberO("[PRODUCT].[PARENTH1].[SBT]","","Renflexis","","000")</f>
        <v>Renflexis</v>
      </c>
      <c r="B17" s="31">
        <v>45759609.369999997</v>
      </c>
      <c r="C17" s="31">
        <v>641143.29</v>
      </c>
      <c r="E17" s="31">
        <v>4124273.67</v>
      </c>
      <c r="G17" s="31">
        <f t="shared" si="2"/>
        <v>0</v>
      </c>
      <c r="H17" s="31">
        <v>50525026.329999998</v>
      </c>
      <c r="J17" s="31">
        <v>35048697.740000002</v>
      </c>
      <c r="K17" s="31">
        <v>708614.98</v>
      </c>
      <c r="M17" s="31">
        <v>3207267.61</v>
      </c>
      <c r="O17" s="31">
        <f t="shared" si="3"/>
        <v>0.10999999940395355</v>
      </c>
      <c r="P17" s="31">
        <v>38964580.439999998</v>
      </c>
    </row>
    <row r="18" spans="1:16" x14ac:dyDescent="0.35">
      <c r="A18" s="44" t="str">
        <f xml:space="preserve"> _xll.EPMOlapMemberO("[PRODUCT].[PARENTH1].[SBF]","","Ontruzant","","000")</f>
        <v>Ontruzant</v>
      </c>
      <c r="B18" s="31">
        <v>14479673.130000001</v>
      </c>
      <c r="C18" s="31">
        <v>707773.28</v>
      </c>
      <c r="E18" s="31">
        <v>10512348.08</v>
      </c>
      <c r="F18" s="31">
        <v>-32051.68</v>
      </c>
      <c r="G18" s="31">
        <f t="shared" si="2"/>
        <v>0</v>
      </c>
      <c r="H18" s="31">
        <v>25667742.809999999</v>
      </c>
      <c r="J18" s="31">
        <v>1771011.49</v>
      </c>
      <c r="K18" s="31">
        <v>44219.13</v>
      </c>
      <c r="M18" s="31">
        <v>19581375.920000002</v>
      </c>
      <c r="N18" s="31">
        <v>15723719.539999999</v>
      </c>
      <c r="O18" s="31">
        <f t="shared" si="3"/>
        <v>0.27000000327825546</v>
      </c>
      <c r="P18" s="31">
        <v>37120326.350000001</v>
      </c>
    </row>
    <row r="19" spans="1:16" x14ac:dyDescent="0.35">
      <c r="A19" s="44" t="str">
        <f xml:space="preserve"> _xll.EPMOlapMemberO("[PRODUCT].[PARENTH1].[ETA]","","Brenzys","","000")</f>
        <v>Brenzys</v>
      </c>
      <c r="C19" s="31">
        <v>6406845.8399999999</v>
      </c>
      <c r="E19" s="31">
        <v>5494404.9699999997</v>
      </c>
      <c r="F19" s="31">
        <v>16256689.789999999</v>
      </c>
      <c r="G19" s="31">
        <f t="shared" si="2"/>
        <v>0</v>
      </c>
      <c r="H19" s="31">
        <v>28157940.600000001</v>
      </c>
      <c r="K19" s="31">
        <v>3845716.12</v>
      </c>
      <c r="M19" s="31">
        <v>5026785.04</v>
      </c>
      <c r="N19" s="31">
        <v>13821749.560000001</v>
      </c>
      <c r="O19" s="31">
        <f t="shared" si="3"/>
        <v>0.10999999940395355</v>
      </c>
      <c r="P19" s="31">
        <v>22694250.829999998</v>
      </c>
    </row>
    <row r="20" spans="1:16" x14ac:dyDescent="0.35">
      <c r="A20" s="33" t="s">
        <v>56</v>
      </c>
      <c r="B20" s="31">
        <f>(B21-SUM(B17:B19))</f>
        <v>0</v>
      </c>
      <c r="C20" s="31">
        <f>(C21-SUM(C17:C19))</f>
        <v>-242848.62999999989</v>
      </c>
      <c r="D20" s="31">
        <f>(D21-SUM(D17:D19))</f>
        <v>0</v>
      </c>
      <c r="E20" s="31">
        <f>(E21-SUM(E17:E19))</f>
        <v>14368265.380000003</v>
      </c>
      <c r="F20" s="31">
        <f>(F21-SUM(F17:F19))</f>
        <v>0</v>
      </c>
      <c r="G20" s="31">
        <f t="shared" si="2"/>
        <v>-1.862645149230957E-8</v>
      </c>
      <c r="H20" s="31">
        <f>(H21-SUM(H17:H19))</f>
        <v>14125416.749999985</v>
      </c>
      <c r="J20" s="31">
        <f>(J21-SUM(J17:J19))</f>
        <v>-7.4505805969238281E-9</v>
      </c>
      <c r="K20" s="31">
        <f>(K21-SUM(K17:K19))</f>
        <v>0</v>
      </c>
      <c r="L20" s="31">
        <f>(L21-SUM(L17:L19))</f>
        <v>0</v>
      </c>
      <c r="M20" s="31">
        <f>(M21-SUM(M17:M19))</f>
        <v>4423621.93</v>
      </c>
      <c r="N20" s="31">
        <f>(N21-SUM(N17:N19))</f>
        <v>0</v>
      </c>
      <c r="O20" s="31">
        <f t="shared" si="3"/>
        <v>4.0000021457672119E-2</v>
      </c>
      <c r="P20" s="31">
        <f>(P21-SUM(P17:P19))</f>
        <v>4423621.9700000137</v>
      </c>
    </row>
    <row r="21" spans="1:16" s="36" customFormat="1" x14ac:dyDescent="0.35">
      <c r="A21" s="45" t="str">
        <f xml:space="preserve"> _xll.EPMOlapMemberO("[PRODUCT].[PARENTH1].[PROJECT_SONG]","","Biosimilars - Total","","000")</f>
        <v>Biosimilars - Total</v>
      </c>
      <c r="B21" s="35">
        <v>60239282.5</v>
      </c>
      <c r="C21" s="35">
        <v>7512913.7800000003</v>
      </c>
      <c r="D21" s="35"/>
      <c r="E21" s="35">
        <v>34499292.100000001</v>
      </c>
      <c r="F21" s="35">
        <v>16224638.109999999</v>
      </c>
      <c r="G21" s="35">
        <f t="shared" si="2"/>
        <v>0</v>
      </c>
      <c r="H21" s="35">
        <v>118476126.48999999</v>
      </c>
      <c r="I21" s="35"/>
      <c r="J21" s="35">
        <v>36819709.229999997</v>
      </c>
      <c r="K21" s="35">
        <v>4598550.2300000004</v>
      </c>
      <c r="L21" s="35"/>
      <c r="M21" s="35">
        <v>32239050.5</v>
      </c>
      <c r="N21" s="35">
        <v>29545469.100000001</v>
      </c>
      <c r="O21" s="35">
        <f t="shared" si="3"/>
        <v>0.5300000011920929</v>
      </c>
      <c r="P21" s="35">
        <v>103202779.59</v>
      </c>
    </row>
    <row r="22" spans="1:16" x14ac:dyDescent="0.35">
      <c r="A22" s="47" t="str">
        <f xml:space="preserve"> _xll.EPMOlapMemberO("[PRODUCT].[PARENTH1].[ZETIA]","","Zetia Products","","000")</f>
        <v>Zetia Products</v>
      </c>
      <c r="B22" s="31">
        <v>4077229.3</v>
      </c>
      <c r="C22" s="31">
        <v>15956029.939999999</v>
      </c>
      <c r="D22" s="31">
        <v>48318265.439999998</v>
      </c>
      <c r="E22" s="31">
        <v>22122092.829999998</v>
      </c>
      <c r="F22" s="31">
        <v>5198252.13</v>
      </c>
      <c r="G22" s="31">
        <f t="shared" si="2"/>
        <v>0</v>
      </c>
      <c r="H22" s="31">
        <v>95671869.640000001</v>
      </c>
      <c r="J22" s="31">
        <v>3381176.97</v>
      </c>
      <c r="K22" s="31">
        <v>33174150.670000002</v>
      </c>
      <c r="L22" s="31">
        <v>32043226.07</v>
      </c>
      <c r="M22" s="31">
        <v>25937363.440000001</v>
      </c>
      <c r="N22" s="31">
        <v>2988969.87</v>
      </c>
      <c r="O22" s="31">
        <f t="shared" si="3"/>
        <v>0.74999998509883881</v>
      </c>
      <c r="P22" s="31">
        <v>97524887.769999996</v>
      </c>
    </row>
    <row r="23" spans="1:16" x14ac:dyDescent="0.35">
      <c r="A23" s="47" t="str">
        <f xml:space="preserve"> _xll.EPMOlapMemberO("[PRODUCT].[PARENTH1].[VYTORIN]","","Vytorin Products","","000")</f>
        <v>Vytorin Products</v>
      </c>
      <c r="B23" s="31">
        <v>2924402.06</v>
      </c>
      <c r="C23" s="31">
        <v>7695958.8099999996</v>
      </c>
      <c r="D23" s="31">
        <v>490618.96</v>
      </c>
      <c r="E23" s="31">
        <v>17269735.23</v>
      </c>
      <c r="F23" s="31">
        <v>8782481.0299999993</v>
      </c>
      <c r="G23" s="31">
        <f t="shared" si="2"/>
        <v>97790.319999992847</v>
      </c>
      <c r="H23" s="31">
        <v>37260986.409999996</v>
      </c>
      <c r="J23" s="31">
        <v>3376290.95</v>
      </c>
      <c r="K23" s="31">
        <v>9896986.3900000006</v>
      </c>
      <c r="L23" s="31">
        <v>487332.47</v>
      </c>
      <c r="M23" s="31">
        <v>19344347.199999999</v>
      </c>
      <c r="N23" s="31">
        <v>10342609.439999999</v>
      </c>
      <c r="O23" s="31">
        <f t="shared" si="3"/>
        <v>0.2500000074505806</v>
      </c>
      <c r="P23" s="31">
        <v>43447566.700000003</v>
      </c>
    </row>
    <row r="24" spans="1:16" x14ac:dyDescent="0.35">
      <c r="A24" s="43" t="str">
        <f xml:space="preserve"> _xll.EPMOlapMemberO("[PRODUCT].[PARENTH1].[LIPTRUZET]","","Atozet Products","","000")</f>
        <v>Atozet Products</v>
      </c>
      <c r="B24" s="31">
        <v>0</v>
      </c>
      <c r="C24" s="31">
        <v>33650287.399999999</v>
      </c>
      <c r="E24" s="31">
        <v>70827557.549999997</v>
      </c>
      <c r="F24" s="31">
        <v>5856302.4699999997</v>
      </c>
      <c r="G24" s="31">
        <f t="shared" si="2"/>
        <v>0</v>
      </c>
      <c r="H24" s="31">
        <v>110334147.42</v>
      </c>
      <c r="K24" s="31">
        <v>31681223.16</v>
      </c>
      <c r="M24" s="31">
        <v>67435189.319999993</v>
      </c>
      <c r="N24" s="31">
        <v>6056142.3799999999</v>
      </c>
      <c r="O24" s="31">
        <f t="shared" si="3"/>
        <v>0.59000001847743988</v>
      </c>
      <c r="P24" s="31">
        <v>105172555.45</v>
      </c>
    </row>
    <row r="25" spans="1:16" x14ac:dyDescent="0.35">
      <c r="A25" s="43" t="str">
        <f xml:space="preserve"> _xll.EPMOlapMemberO("[PRODUCT].[PARENTH1].[ROSPROD]","","Rosuzet Products","","000")</f>
        <v>Rosuzet Products</v>
      </c>
      <c r="C25" s="31">
        <v>19172893.530000001</v>
      </c>
      <c r="F25" s="31">
        <v>288876.57</v>
      </c>
      <c r="G25" s="31">
        <f>H25-SUM(B25:F25)</f>
        <v>0</v>
      </c>
      <c r="H25" s="31">
        <v>19461770.100000001</v>
      </c>
      <c r="K25" s="31">
        <v>35592025.210000001</v>
      </c>
      <c r="O25" s="31">
        <f>P25-SUM(J25:N25)</f>
        <v>0</v>
      </c>
      <c r="P25" s="31">
        <v>35592025.210000001</v>
      </c>
    </row>
    <row r="26" spans="1:16" x14ac:dyDescent="0.35">
      <c r="A26" s="44" t="str">
        <f xml:space="preserve"> _xll.EPMOlapMemberO("[PRODUCT].[PARENTH1].[COZAAR_HYZAAR]","","Cozaar Hyzaar Products","","000")</f>
        <v>Cozaar Hyzaar Products</v>
      </c>
      <c r="B26" s="31">
        <v>3139936.31</v>
      </c>
      <c r="C26" s="31">
        <v>29983694.690000001</v>
      </c>
      <c r="D26" s="31">
        <v>39789411.68</v>
      </c>
      <c r="E26" s="31">
        <v>12654908.960000001</v>
      </c>
      <c r="F26" s="31">
        <v>7254121.7400000002</v>
      </c>
      <c r="G26" s="31">
        <f t="shared" si="2"/>
        <v>0</v>
      </c>
      <c r="H26" s="31">
        <v>92822073.379999995</v>
      </c>
      <c r="J26" s="31">
        <v>3912566.76</v>
      </c>
      <c r="K26" s="31">
        <v>28027361.559999999</v>
      </c>
      <c r="L26" s="31">
        <v>39121124.710000001</v>
      </c>
      <c r="M26" s="31">
        <v>10865809.640000001</v>
      </c>
      <c r="N26" s="31">
        <v>12451146.359999999</v>
      </c>
      <c r="O26" s="31">
        <f t="shared" si="3"/>
        <v>1.3700000047683716</v>
      </c>
      <c r="P26" s="31">
        <v>94378010.400000006</v>
      </c>
    </row>
    <row r="27" spans="1:16" x14ac:dyDescent="0.35">
      <c r="A27" s="44" t="str">
        <f xml:space="preserve"> _xll.EPMOlapMemberO("[PRODUCT].[PARENTH1].[ZOCOR]","","Zocor Products","","000")</f>
        <v>Zocor Products</v>
      </c>
      <c r="B27" s="31">
        <v>772973.47</v>
      </c>
      <c r="C27" s="31">
        <v>3723038.64</v>
      </c>
      <c r="D27" s="31">
        <v>4126738.13</v>
      </c>
      <c r="E27" s="31">
        <v>4487978.2300000004</v>
      </c>
      <c r="F27" s="31">
        <v>2511014.9500000002</v>
      </c>
      <c r="G27" s="31">
        <f t="shared" si="2"/>
        <v>0</v>
      </c>
      <c r="H27" s="31">
        <v>15621743.42</v>
      </c>
      <c r="J27" s="31">
        <v>1117656.32</v>
      </c>
      <c r="K27" s="31">
        <v>3841301.51</v>
      </c>
      <c r="L27" s="31">
        <v>6190829.9699999997</v>
      </c>
      <c r="M27" s="31">
        <v>5443612.0800000001</v>
      </c>
      <c r="N27" s="31">
        <v>2954887.19</v>
      </c>
      <c r="O27" s="31">
        <f t="shared" si="3"/>
        <v>0.46000000089406967</v>
      </c>
      <c r="P27" s="31">
        <v>19548287.530000001</v>
      </c>
    </row>
    <row r="28" spans="1:16" x14ac:dyDescent="0.35">
      <c r="A28" s="33" t="s">
        <v>57</v>
      </c>
      <c r="B28" s="31">
        <f>(B29-SUM(B22:B27))</f>
        <v>0</v>
      </c>
      <c r="C28" s="31">
        <f>(C29-SUM(C22:C27))</f>
        <v>3281077.9599999934</v>
      </c>
      <c r="D28" s="31">
        <f>(D29-SUM(D22:D27))</f>
        <v>2313.3700000047684</v>
      </c>
      <c r="E28" s="31">
        <f>(E29-SUM(E22:E27))</f>
        <v>15206296.700000003</v>
      </c>
      <c r="F28" s="31">
        <f>(F29-SUM(F22:F27))</f>
        <v>8037252.2800000049</v>
      </c>
      <c r="G28" s="31">
        <f t="shared" si="2"/>
        <v>0</v>
      </c>
      <c r="H28" s="31">
        <f>(H29-SUM(H22:H27))</f>
        <v>26526940.310000002</v>
      </c>
      <c r="J28" s="31">
        <f>(J29-SUM(J22:J27))</f>
        <v>0</v>
      </c>
      <c r="K28" s="31">
        <f>(K29-SUM(K22:K27))</f>
        <v>16264661.349999994</v>
      </c>
      <c r="L28" s="31">
        <f>(L29-SUM(L22:L27))</f>
        <v>3628.7100000083447</v>
      </c>
      <c r="M28" s="31">
        <f>(M29-SUM(M22:M27))</f>
        <v>15828531.609999999</v>
      </c>
      <c r="N28" s="31">
        <f>(N29-SUM(N22:N27))</f>
        <v>6447228.0400000066</v>
      </c>
      <c r="O28" s="31">
        <f t="shared" si="3"/>
        <v>0.63000002503395081</v>
      </c>
      <c r="P28" s="31">
        <f>(P29-SUM(P22:P27))</f>
        <v>38544050.340000033</v>
      </c>
    </row>
    <row r="29" spans="1:16" s="36" customFormat="1" x14ac:dyDescent="0.35">
      <c r="A29" s="48" t="str">
        <f xml:space="preserve"> _xll.EPMOlapMemberO("[PRODUCT].[PARENTH1].[HYPERTENSION]","","Established Cardiovascular","","000")</f>
        <v>Established Cardiovascular</v>
      </c>
      <c r="B29" s="35">
        <v>10914541.140000001</v>
      </c>
      <c r="C29" s="35">
        <v>113462980.97</v>
      </c>
      <c r="D29" s="35">
        <v>92727347.579999998</v>
      </c>
      <c r="E29" s="35">
        <v>142568569.5</v>
      </c>
      <c r="F29" s="35">
        <v>37928301.170000002</v>
      </c>
      <c r="G29" s="35">
        <f t="shared" si="2"/>
        <v>97790.319999992847</v>
      </c>
      <c r="H29" s="35">
        <v>397699530.68000001</v>
      </c>
      <c r="I29" s="35"/>
      <c r="J29" s="35">
        <v>11787691</v>
      </c>
      <c r="K29" s="35">
        <v>158477709.84999999</v>
      </c>
      <c r="L29" s="35">
        <v>77846141.930000007</v>
      </c>
      <c r="M29" s="35">
        <v>144854853.28999999</v>
      </c>
      <c r="N29" s="35">
        <v>41240983.280000001</v>
      </c>
      <c r="O29" s="35">
        <f t="shared" si="3"/>
        <v>4.0499999523162842</v>
      </c>
      <c r="P29" s="35">
        <v>434207383.39999998</v>
      </c>
    </row>
    <row r="30" spans="1:16" x14ac:dyDescent="0.35">
      <c r="A30" s="44" t="str">
        <f xml:space="preserve"> _xll.EPMOlapMemberO("[PRODUCT].[PARENTH1].[SINGULAIRPROD]","","Singulair Products","","000")</f>
        <v>Singulair Products</v>
      </c>
      <c r="B30" s="31">
        <v>4758763.8600000003</v>
      </c>
      <c r="C30" s="31">
        <v>45794501.380000003</v>
      </c>
      <c r="D30" s="31">
        <v>38112203.579999998</v>
      </c>
      <c r="E30" s="31">
        <v>15770934.6</v>
      </c>
      <c r="F30" s="31">
        <v>8726335.3499999996</v>
      </c>
      <c r="G30" s="31">
        <f t="shared" si="2"/>
        <v>0</v>
      </c>
      <c r="H30" s="31">
        <v>113162738.77</v>
      </c>
      <c r="J30" s="31">
        <v>4196070.26</v>
      </c>
      <c r="K30" s="31">
        <v>50927606.950000003</v>
      </c>
      <c r="L30" s="31">
        <v>43455981.600000001</v>
      </c>
      <c r="M30" s="31">
        <v>16531230.310000001</v>
      </c>
      <c r="N30" s="31">
        <v>8957444.7699999996</v>
      </c>
      <c r="O30" s="31">
        <f t="shared" si="3"/>
        <v>0.75</v>
      </c>
      <c r="P30" s="31">
        <v>124068334.64</v>
      </c>
    </row>
    <row r="31" spans="1:16" x14ac:dyDescent="0.35">
      <c r="A31" s="44" t="str">
        <f xml:space="preserve"> _xll.EPMOlapMemberO("[PRODUCT].[PARENTH1].[NASONEX]","","Nasonex Products","","000")</f>
        <v>Nasonex Products</v>
      </c>
      <c r="B31" s="31">
        <v>1942211.46</v>
      </c>
      <c r="C31" s="31">
        <v>7457715.4299999997</v>
      </c>
      <c r="D31" s="31">
        <v>21256325.420000002</v>
      </c>
      <c r="E31" s="31">
        <v>12064649.119999999</v>
      </c>
      <c r="F31" s="31">
        <v>19078336.289999999</v>
      </c>
      <c r="G31" s="31">
        <f t="shared" si="2"/>
        <v>658608</v>
      </c>
      <c r="H31" s="31">
        <v>62457845.719999999</v>
      </c>
      <c r="J31" s="31">
        <v>2615044.34</v>
      </c>
      <c r="K31" s="31">
        <v>7739663.8099999996</v>
      </c>
      <c r="L31" s="31">
        <v>19357563.010000002</v>
      </c>
      <c r="M31" s="31">
        <v>10327815.93</v>
      </c>
      <c r="N31" s="31">
        <v>17411636</v>
      </c>
      <c r="O31" s="31">
        <f t="shared" si="3"/>
        <v>40918.979999996722</v>
      </c>
      <c r="P31" s="31">
        <v>57492642.07</v>
      </c>
    </row>
    <row r="32" spans="1:16" x14ac:dyDescent="0.35">
      <c r="A32" s="44" t="str">
        <f xml:space="preserve"> _xll.EPMOlapMemberO("[PRODUCT].[PARENTH1].[XFV]","","Dulera","","000")</f>
        <v>Dulera</v>
      </c>
      <c r="B32" s="31">
        <v>33618765.32</v>
      </c>
      <c r="E32" s="31">
        <v>10071906.359999999</v>
      </c>
      <c r="F32" s="31">
        <v>163623.23000000001</v>
      </c>
      <c r="G32" s="31">
        <f t="shared" si="2"/>
        <v>0</v>
      </c>
      <c r="H32" s="31">
        <v>43854294.909999996</v>
      </c>
      <c r="J32" s="31">
        <v>32964831.059999999</v>
      </c>
      <c r="M32" s="31">
        <v>8362586.6799999997</v>
      </c>
      <c r="N32" s="31">
        <v>131053.02</v>
      </c>
      <c r="O32" s="31">
        <f t="shared" si="3"/>
        <v>7.0000000298023224E-2</v>
      </c>
      <c r="P32" s="31">
        <v>41458470.829999998</v>
      </c>
    </row>
    <row r="33" spans="1:17" x14ac:dyDescent="0.35">
      <c r="A33" s="44" t="str">
        <f xml:space="preserve"> _xll.EPMOlapMemberO("[PRODUCT].[PARENTH1].[CLARINEX_AERIUS]","","Clarinex_Aerius","","000")</f>
        <v>Clarinex_Aerius</v>
      </c>
      <c r="B33" s="31">
        <v>938370.55</v>
      </c>
      <c r="C33" s="31">
        <v>9036475.0399999991</v>
      </c>
      <c r="D33" s="31">
        <v>1145.47</v>
      </c>
      <c r="E33" s="31">
        <v>11013120.9</v>
      </c>
      <c r="F33" s="31">
        <v>7394268.2599999998</v>
      </c>
      <c r="G33" s="31">
        <f t="shared" si="2"/>
        <v>0</v>
      </c>
      <c r="H33" s="31">
        <v>28383380.219999999</v>
      </c>
      <c r="J33" s="31">
        <v>1848111.43</v>
      </c>
      <c r="K33" s="31">
        <v>2539773.88</v>
      </c>
      <c r="L33" s="31">
        <v>90363.32</v>
      </c>
      <c r="M33" s="31">
        <v>10464964.470000001</v>
      </c>
      <c r="N33" s="31">
        <v>5849796.2000000002</v>
      </c>
      <c r="O33" s="31">
        <f t="shared" si="3"/>
        <v>0.98000000044703484</v>
      </c>
      <c r="P33" s="31">
        <v>20793010.280000001</v>
      </c>
    </row>
    <row r="34" spans="1:17" x14ac:dyDescent="0.35">
      <c r="A34" s="44" t="str">
        <f xml:space="preserve"> _xll.EPMOlapMemberO("[PRODUCT].[PARENTH1].[XAF]","","Asmanex","","000")</f>
        <v>Asmanex</v>
      </c>
      <c r="B34" s="31">
        <v>13988836.1</v>
      </c>
      <c r="C34" s="31">
        <v>485570.73</v>
      </c>
      <c r="E34" s="31">
        <v>1005831.8</v>
      </c>
      <c r="G34" s="31">
        <f t="shared" si="2"/>
        <v>200808</v>
      </c>
      <c r="H34" s="31">
        <v>15681046.630000001</v>
      </c>
      <c r="J34" s="31">
        <v>17315044.170000002</v>
      </c>
      <c r="K34" s="31">
        <v>646255.80000000005</v>
      </c>
      <c r="M34" s="31">
        <v>1427883.47</v>
      </c>
      <c r="N34" s="31">
        <v>-22139.7</v>
      </c>
      <c r="O34" s="31">
        <f t="shared" si="3"/>
        <v>250776.1099999994</v>
      </c>
      <c r="P34" s="31">
        <v>19617819.850000001</v>
      </c>
    </row>
    <row r="35" spans="1:17" x14ac:dyDescent="0.35">
      <c r="A35" s="33" t="s">
        <v>58</v>
      </c>
      <c r="B35" s="31">
        <f>(B36-SUM(B30:B34))</f>
        <v>-876986.03999999911</v>
      </c>
      <c r="C35" s="31">
        <f>(C36-SUM(C30:C34))</f>
        <v>8781622.5700000077</v>
      </c>
      <c r="D35" s="31">
        <f>(D36-SUM(D30:D34))</f>
        <v>0</v>
      </c>
      <c r="E35" s="31">
        <f>(E36-SUM(E30:E34))</f>
        <v>139559.57000000775</v>
      </c>
      <c r="F35" s="31">
        <f>(F36-SUM(F30:F34))</f>
        <v>1563530.2100000009</v>
      </c>
      <c r="G35" s="31">
        <f t="shared" si="2"/>
        <v>-1.4901161193847656E-8</v>
      </c>
      <c r="H35" s="31">
        <f>(H36-SUM(H30:H34))</f>
        <v>9607726.3100000024</v>
      </c>
      <c r="J35" s="31">
        <f>(J36-SUM(J30:J34))</f>
        <v>2109371.2800000012</v>
      </c>
      <c r="K35" s="31">
        <f>(K36-SUM(K30:K34))</f>
        <v>5331121.5399999991</v>
      </c>
      <c r="L35" s="31">
        <f>(L36-SUM(L30:L34))</f>
        <v>0</v>
      </c>
      <c r="M35" s="31">
        <f>(M36-SUM(M30:M34))</f>
        <v>291014.45000000298</v>
      </c>
      <c r="N35" s="31">
        <f>(N36-SUM(N30:N34))</f>
        <v>1292305.5300000012</v>
      </c>
      <c r="O35" s="31">
        <f t="shared" si="3"/>
        <v>0.1199999526143074</v>
      </c>
      <c r="P35" s="31">
        <f>(P36-SUM(P30:P34))</f>
        <v>9023812.9199999571</v>
      </c>
    </row>
    <row r="36" spans="1:17" s="36" customFormat="1" x14ac:dyDescent="0.35">
      <c r="A36" s="48" t="str">
        <f xml:space="preserve"> _xll.EPMOlapMemberO("[PRODUCT].[PARENTH1].[LEGACY_RESP]","","Established Respiratory","","000")</f>
        <v>Established Respiratory</v>
      </c>
      <c r="B36" s="35">
        <v>54369961.25</v>
      </c>
      <c r="C36" s="35">
        <v>71555885.150000006</v>
      </c>
      <c r="D36" s="35">
        <v>59369674.469999999</v>
      </c>
      <c r="E36" s="35">
        <v>50066002.350000001</v>
      </c>
      <c r="F36" s="35">
        <v>36926093.340000004</v>
      </c>
      <c r="G36" s="35">
        <f t="shared" si="2"/>
        <v>859416</v>
      </c>
      <c r="H36" s="35">
        <v>273147032.56</v>
      </c>
      <c r="I36" s="35"/>
      <c r="J36" s="35">
        <v>61048472.539999999</v>
      </c>
      <c r="K36" s="35">
        <v>67184421.980000004</v>
      </c>
      <c r="L36" s="35">
        <v>62903907.93</v>
      </c>
      <c r="M36" s="35">
        <v>47405495.310000002</v>
      </c>
      <c r="N36" s="35">
        <v>33620095.82</v>
      </c>
      <c r="O36" s="35">
        <f t="shared" si="3"/>
        <v>291697.00999993086</v>
      </c>
      <c r="P36" s="35">
        <v>272454090.58999997</v>
      </c>
    </row>
    <row r="37" spans="1:17" x14ac:dyDescent="0.35">
      <c r="A37" s="43" t="str">
        <f xml:space="preserve"> _xll.EPMOlapMemberO("[PRODUCT].[PARENTH1].[ARCOXIA]","","Arcoxia Products","","000")</f>
        <v>Arcoxia Products</v>
      </c>
      <c r="C37" s="31">
        <v>9899710.0800000001</v>
      </c>
      <c r="D37" s="31">
        <v>9705812.1899999995</v>
      </c>
      <c r="E37" s="31">
        <v>16731480</v>
      </c>
      <c r="F37" s="31">
        <v>23861991.719999999</v>
      </c>
      <c r="G37" s="31">
        <f t="shared" si="2"/>
        <v>0</v>
      </c>
      <c r="H37" s="31">
        <v>60198993.990000002</v>
      </c>
      <c r="K37" s="31">
        <v>11382336.560000001</v>
      </c>
      <c r="L37" s="31">
        <v>6988473.6699999999</v>
      </c>
      <c r="M37" s="31">
        <v>15517454.35</v>
      </c>
      <c r="N37" s="31">
        <v>20242730.190000001</v>
      </c>
      <c r="O37" s="31">
        <f t="shared" si="3"/>
        <v>0.65000000596046448</v>
      </c>
      <c r="P37" s="31">
        <v>54130995.420000002</v>
      </c>
    </row>
    <row r="38" spans="1:17" x14ac:dyDescent="0.35">
      <c r="A38" s="43" t="str">
        <f xml:space="preserve"> _xll.EPMOlapMemberO("[PRODUCT].[PARENTH1].[FOSOMAXPROD]","","Fosamax Products","","000")</f>
        <v>Fosamax Products</v>
      </c>
      <c r="B38" s="31">
        <v>934903.41</v>
      </c>
      <c r="C38" s="31">
        <v>9946188.9199999999</v>
      </c>
      <c r="D38" s="31">
        <v>18223029.27</v>
      </c>
      <c r="E38" s="31">
        <v>9577759.6799999997</v>
      </c>
      <c r="F38" s="31">
        <v>4358193.59</v>
      </c>
      <c r="G38" s="31">
        <f t="shared" si="2"/>
        <v>0</v>
      </c>
      <c r="H38" s="31">
        <v>43040074.869999997</v>
      </c>
      <c r="J38" s="31">
        <v>1000320.7</v>
      </c>
      <c r="K38" s="31">
        <v>10850425.970000001</v>
      </c>
      <c r="L38" s="31">
        <v>13185829.949999999</v>
      </c>
      <c r="M38" s="31">
        <v>10515584.529999999</v>
      </c>
      <c r="N38" s="31">
        <v>4343884.37</v>
      </c>
      <c r="O38" s="31">
        <f t="shared" si="3"/>
        <v>0.65000000596046448</v>
      </c>
      <c r="P38" s="31">
        <v>39896046.170000002</v>
      </c>
    </row>
    <row r="39" spans="1:17" x14ac:dyDescent="0.35">
      <c r="A39" s="47" t="str">
        <f xml:space="preserve"> _xll.EPMOlapMemberO("[PRODUCT].[PARENTH1].[XDP]","","Diprospan","","000")</f>
        <v>Diprospan</v>
      </c>
      <c r="C39" s="31">
        <v>967884.58</v>
      </c>
      <c r="D39" s="31">
        <v>6799248.4500000002</v>
      </c>
      <c r="E39" s="31">
        <v>6300764.1600000001</v>
      </c>
      <c r="F39" s="31">
        <v>19258153.960000001</v>
      </c>
      <c r="G39" s="31">
        <f t="shared" si="2"/>
        <v>0</v>
      </c>
      <c r="H39" s="31">
        <v>33326051.149999999</v>
      </c>
      <c r="K39" s="31">
        <v>1073176.8799999999</v>
      </c>
      <c r="L39" s="31">
        <v>5364359.16</v>
      </c>
      <c r="M39" s="31">
        <v>6107655.2999999998</v>
      </c>
      <c r="N39" s="31">
        <v>19063294.140000001</v>
      </c>
      <c r="O39" s="31">
        <f t="shared" si="3"/>
        <v>0.30999999865889549</v>
      </c>
      <c r="P39" s="31">
        <v>31608485.789999999</v>
      </c>
    </row>
    <row r="40" spans="1:17" x14ac:dyDescent="0.35">
      <c r="A40" s="43" t="str">
        <f xml:space="preserve"> _xll.EPMOlapMemberO("[PRODUCT].[PARENTH1].[XDI]","","Diprosone","","000")</f>
        <v>Diprosone</v>
      </c>
      <c r="B40" s="31">
        <v>268397.17</v>
      </c>
      <c r="C40" s="31">
        <v>6620989.7199999997</v>
      </c>
      <c r="E40" s="31">
        <v>12359156.689999999</v>
      </c>
      <c r="F40" s="31">
        <v>2724138.58</v>
      </c>
      <c r="G40" s="31">
        <f t="shared" si="2"/>
        <v>0</v>
      </c>
      <c r="H40" s="31">
        <v>21972682.16</v>
      </c>
      <c r="J40" s="31">
        <v>13096.23</v>
      </c>
      <c r="K40" s="31">
        <v>6331683.5099999998</v>
      </c>
      <c r="M40" s="31">
        <v>14797370.83</v>
      </c>
      <c r="N40" s="31">
        <v>2252644.27</v>
      </c>
      <c r="O40" s="31">
        <f t="shared" si="3"/>
        <v>0.60000000149011612</v>
      </c>
      <c r="P40" s="31">
        <v>23394795.440000001</v>
      </c>
    </row>
    <row r="41" spans="1:17" x14ac:dyDescent="0.35">
      <c r="A41" s="34" t="s">
        <v>59</v>
      </c>
      <c r="B41" s="31">
        <f>(B42-SUM(B37:B40))</f>
        <v>3665899.7199999997</v>
      </c>
      <c r="C41" s="31">
        <f>(C42-SUM(C37:C40))</f>
        <v>7501476.5400000066</v>
      </c>
      <c r="D41" s="31">
        <f>(D42-SUM(D37:D40))</f>
        <v>-7.4505805969238281E-9</v>
      </c>
      <c r="E41" s="31">
        <f>(E42-SUM(E37:E40))</f>
        <v>26507789.659999996</v>
      </c>
      <c r="F41" s="31">
        <f>(F42-SUM(F37:F40))</f>
        <v>12219356.690000005</v>
      </c>
      <c r="G41" s="31">
        <f t="shared" si="2"/>
        <v>0</v>
      </c>
      <c r="H41" s="31">
        <f>(H42-SUM(H37:H40))</f>
        <v>49894522.610000014</v>
      </c>
      <c r="J41" s="31">
        <f>(J42-SUM(J37:J40))</f>
        <v>4594758.88</v>
      </c>
      <c r="K41" s="31">
        <f>(K42-SUM(K37:K40))</f>
        <v>7024339.049999997</v>
      </c>
      <c r="L41" s="31">
        <f>(L42-SUM(L37:L40))</f>
        <v>3.7252902984619141E-9</v>
      </c>
      <c r="M41" s="31">
        <f>(M42-SUM(M37:M40))</f>
        <v>27501607.869999997</v>
      </c>
      <c r="N41" s="31">
        <f>(N42-SUM(N37:N40))</f>
        <v>11317378.869999997</v>
      </c>
      <c r="O41" s="31">
        <f t="shared" si="3"/>
        <v>1.5600000247359276</v>
      </c>
      <c r="P41" s="31">
        <f>(P42-SUM(P37:P40))</f>
        <v>50438086.230000019</v>
      </c>
      <c r="Q41" s="31">
        <f t="shared" ref="Q41" si="5">Q42-SUM(Q37:Q40)</f>
        <v>0</v>
      </c>
    </row>
    <row r="42" spans="1:17" s="36" customFormat="1" x14ac:dyDescent="0.35">
      <c r="A42" s="48" t="str">
        <f xml:space="preserve"> _xll.EPMOlapMemberO("[PRODUCT].[PARENTH1].[LEGACY_PAIN_BONE_DERM]","","Established Pain, Bone and Derm","","000")</f>
        <v>Established Pain, Bone and Derm</v>
      </c>
      <c r="B42" s="35">
        <v>4869200.3</v>
      </c>
      <c r="C42" s="35">
        <v>34936249.840000004</v>
      </c>
      <c r="D42" s="35">
        <v>34728089.909999996</v>
      </c>
      <c r="E42" s="35">
        <v>71476950.189999998</v>
      </c>
      <c r="F42" s="35">
        <v>62421834.539999999</v>
      </c>
      <c r="G42" s="35">
        <f t="shared" si="2"/>
        <v>0</v>
      </c>
      <c r="H42" s="35">
        <v>208432324.78</v>
      </c>
      <c r="I42" s="35"/>
      <c r="J42" s="35">
        <v>5608175.8099999996</v>
      </c>
      <c r="K42" s="35">
        <v>36661961.969999999</v>
      </c>
      <c r="L42" s="35">
        <v>25538662.780000001</v>
      </c>
      <c r="M42" s="35">
        <v>74439672.879999995</v>
      </c>
      <c r="N42" s="35">
        <v>57219931.840000004</v>
      </c>
      <c r="O42" s="35">
        <f t="shared" si="3"/>
        <v>3.7700000107288361</v>
      </c>
      <c r="P42" s="35">
        <v>199468409.05000001</v>
      </c>
    </row>
    <row r="43" spans="1:17" x14ac:dyDescent="0.35">
      <c r="A43" s="47" t="str">
        <f xml:space="preserve"> _xll.EPMOlapMemberO("[PRODUCT].[PARENTH1].[PROSCARPROD]","","Proscar Products","","000")</f>
        <v>Proscar Products</v>
      </c>
      <c r="B43" s="31">
        <v>279424.73</v>
      </c>
      <c r="C43" s="31">
        <v>2450799.2599999998</v>
      </c>
      <c r="D43" s="31">
        <v>18882881.699999999</v>
      </c>
      <c r="E43" s="31">
        <v>3157859.38</v>
      </c>
      <c r="F43" s="31">
        <v>777419.81</v>
      </c>
      <c r="G43" s="31">
        <f t="shared" si="2"/>
        <v>0</v>
      </c>
      <c r="H43" s="31">
        <v>25548384.879999999</v>
      </c>
      <c r="J43" s="31">
        <v>438386.37</v>
      </c>
      <c r="K43" s="31">
        <v>4560822.1500000004</v>
      </c>
      <c r="L43" s="31">
        <v>13363831.91</v>
      </c>
      <c r="M43" s="31">
        <v>3130048.14</v>
      </c>
      <c r="N43" s="31">
        <v>756873.63</v>
      </c>
      <c r="O43" s="31">
        <f t="shared" si="3"/>
        <v>0.4700000025331974</v>
      </c>
      <c r="P43" s="31">
        <v>22249962.670000002</v>
      </c>
    </row>
    <row r="44" spans="1:17" x14ac:dyDescent="0.35">
      <c r="A44" s="47" t="str">
        <f xml:space="preserve"> _xll.EPMOlapMemberO("[PRODUCT].[PARENTH1].[PROPECIAPROD]","","Propecia Products","","000")</f>
        <v>Propecia Products</v>
      </c>
      <c r="B44" s="31">
        <v>4371457.29</v>
      </c>
      <c r="C44" s="31">
        <v>15509320.91</v>
      </c>
      <c r="D44" s="31">
        <v>11021837.49</v>
      </c>
      <c r="E44" s="31">
        <v>3899201.83</v>
      </c>
      <c r="F44" s="31">
        <v>834003.68</v>
      </c>
      <c r="G44" s="31">
        <f t="shared" si="2"/>
        <v>0</v>
      </c>
      <c r="H44" s="31">
        <v>35635821.200000003</v>
      </c>
      <c r="J44" s="31">
        <v>2460477.14</v>
      </c>
      <c r="K44" s="31">
        <v>18021773.59</v>
      </c>
      <c r="L44" s="31">
        <v>14152991.699999999</v>
      </c>
      <c r="M44" s="31">
        <v>3259809.12</v>
      </c>
      <c r="N44" s="31">
        <v>841750.8</v>
      </c>
      <c r="O44" s="31">
        <f t="shared" si="3"/>
        <v>0.26000000536441803</v>
      </c>
      <c r="P44" s="31">
        <v>38736802.609999999</v>
      </c>
    </row>
    <row r="45" spans="1:17" x14ac:dyDescent="0.35">
      <c r="A45" s="43" t="str">
        <f xml:space="preserve"> _xll.EPMOlapMemberO("[PRODUCT].[PARENTH1].[SINEMETPROD]","","Sinemet Products","","000")</f>
        <v>Sinemet Products</v>
      </c>
      <c r="B45" s="31">
        <v>111152.08</v>
      </c>
      <c r="C45" s="31">
        <v>3578522.73</v>
      </c>
      <c r="D45" s="31">
        <v>1168.3599999999999</v>
      </c>
      <c r="E45" s="31">
        <v>13261274.85</v>
      </c>
      <c r="F45" s="31">
        <v>514704.3</v>
      </c>
      <c r="G45" s="31">
        <f t="shared" si="2"/>
        <v>0</v>
      </c>
      <c r="H45" s="31">
        <v>17466822.32</v>
      </c>
      <c r="J45" s="31">
        <v>-12947.44</v>
      </c>
      <c r="K45" s="31">
        <v>2947114.52</v>
      </c>
      <c r="L45" s="31">
        <v>1088373.4099999999</v>
      </c>
      <c r="M45" s="31">
        <v>14862770.83</v>
      </c>
      <c r="N45" s="31">
        <v>631769.42000000004</v>
      </c>
      <c r="O45" s="31">
        <f t="shared" si="3"/>
        <v>0.17999999970197678</v>
      </c>
      <c r="P45" s="31">
        <v>19517080.920000002</v>
      </c>
    </row>
    <row r="46" spans="1:17" x14ac:dyDescent="0.35">
      <c r="A46" s="43" t="str">
        <f xml:space="preserve"> _xll.EPMOlapMemberO("[PRODUCT].[PARENTH1].[XRE]","","Remeron","","000")</f>
        <v>Remeron</v>
      </c>
      <c r="B46" s="31">
        <v>613103.30000000005</v>
      </c>
      <c r="C46" s="31">
        <v>3679733.71</v>
      </c>
      <c r="D46" s="31">
        <v>4621914.6100000003</v>
      </c>
      <c r="E46" s="31">
        <v>4440013.9800000004</v>
      </c>
      <c r="F46" s="31">
        <v>1200577.53</v>
      </c>
      <c r="G46" s="31">
        <f t="shared" si="2"/>
        <v>0</v>
      </c>
      <c r="H46" s="31">
        <v>14555343.130000001</v>
      </c>
      <c r="J46" s="31">
        <v>537842.14</v>
      </c>
      <c r="K46" s="31">
        <v>4710095.0199999996</v>
      </c>
      <c r="L46" s="31">
        <v>4074314.18</v>
      </c>
      <c r="M46" s="31">
        <v>5632937.4299999997</v>
      </c>
      <c r="N46" s="31">
        <v>1246961.96</v>
      </c>
      <c r="O46" s="31">
        <f t="shared" si="3"/>
        <v>0.43999999947845936</v>
      </c>
      <c r="P46" s="31">
        <v>16202151.17</v>
      </c>
    </row>
    <row r="47" spans="1:17" x14ac:dyDescent="0.35">
      <c r="A47" s="34" t="s">
        <v>2</v>
      </c>
      <c r="B47" s="31">
        <f>(B48-SUM(B43:B46))</f>
        <v>7019429.4500000002</v>
      </c>
      <c r="C47" s="31">
        <f>(C48-SUM(C43:C46))</f>
        <v>16410805.09</v>
      </c>
      <c r="D47" s="31">
        <f>(D48-SUM(D43:D46))</f>
        <v>1836842.7600000054</v>
      </c>
      <c r="E47" s="31">
        <f>(E48-SUM(E43:E46))</f>
        <v>32971376.270000003</v>
      </c>
      <c r="F47" s="31">
        <f>(F48-SUM(F43:F46))</f>
        <v>7283858.5399999991</v>
      </c>
      <c r="G47" s="31">
        <f t="shared" si="2"/>
        <v>-628064.27000000328</v>
      </c>
      <c r="H47" s="31">
        <f>(H48-SUM(H43:H46))</f>
        <v>64894247.840000004</v>
      </c>
      <c r="J47" s="31">
        <f>(J48-SUM(J43:J46))</f>
        <v>9455090.1399999987</v>
      </c>
      <c r="K47" s="31">
        <f>(K48-SUM(K43:K46))</f>
        <v>13624888.159999996</v>
      </c>
      <c r="L47" s="31">
        <f>(L48-SUM(L43:L46))</f>
        <v>1269560.370000001</v>
      </c>
      <c r="M47" s="31">
        <f>(M48-SUM(M43:M46))</f>
        <v>30994807.209999997</v>
      </c>
      <c r="N47" s="31">
        <f>(N48-SUM(N43:N46))</f>
        <v>4199359.59</v>
      </c>
      <c r="O47" s="31">
        <f t="shared" si="3"/>
        <v>-84667.710000008345</v>
      </c>
      <c r="P47" s="31">
        <f>(P48-SUM(P43:P46))</f>
        <v>59459037.75999999</v>
      </c>
    </row>
    <row r="48" spans="1:17" s="36" customFormat="1" x14ac:dyDescent="0.35">
      <c r="A48" s="48" t="str">
        <f xml:space="preserve"> _xll.EPMOlapMemberO("[PRODUCT].[PARENTH1].[LEGACY_OTHER]","","Established Other","","000")</f>
        <v>Established Other</v>
      </c>
      <c r="B48" s="35">
        <v>12394566.85</v>
      </c>
      <c r="C48" s="35">
        <v>41629181.700000003</v>
      </c>
      <c r="D48" s="35">
        <v>36364644.920000002</v>
      </c>
      <c r="E48" s="35">
        <v>57729726.310000002</v>
      </c>
      <c r="F48" s="35">
        <v>10610563.859999999</v>
      </c>
      <c r="G48" s="35">
        <f t="shared" si="2"/>
        <v>-628064.26999998093</v>
      </c>
      <c r="H48" s="35">
        <v>158100619.37</v>
      </c>
      <c r="I48" s="35"/>
      <c r="J48" s="35">
        <v>12878848.35</v>
      </c>
      <c r="K48" s="35">
        <v>43864693.439999998</v>
      </c>
      <c r="L48" s="35">
        <v>33949071.57</v>
      </c>
      <c r="M48" s="35">
        <v>57880372.729999997</v>
      </c>
      <c r="N48" s="35">
        <v>7676715.4000000004</v>
      </c>
      <c r="O48" s="35">
        <f t="shared" si="3"/>
        <v>-84666.360000014305</v>
      </c>
      <c r="P48" s="35">
        <v>156165035.13</v>
      </c>
    </row>
    <row r="49" spans="1:16" x14ac:dyDescent="0.35">
      <c r="A49" s="34"/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f t="shared" si="2"/>
        <v>0</v>
      </c>
      <c r="H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f t="shared" si="3"/>
        <v>0</v>
      </c>
      <c r="P49" s="31">
        <v>0</v>
      </c>
    </row>
    <row r="50" spans="1:16" s="36" customFormat="1" x14ac:dyDescent="0.35">
      <c r="A50" s="50" t="str">
        <f xml:space="preserve"> _xll.EPMOlapMemberO("[PRODUCT].[PARENTH1].[XXX]","","Not Product Specific","","000")</f>
        <v>Not Product Specific</v>
      </c>
      <c r="B50" s="35">
        <v>-2814124.14</v>
      </c>
      <c r="C50" s="35"/>
      <c r="D50" s="35"/>
      <c r="E50" s="35">
        <v>-8784555.9100000001</v>
      </c>
      <c r="F50" s="35">
        <v>-292238.45</v>
      </c>
      <c r="G50" s="35">
        <f t="shared" si="2"/>
        <v>44248569.049999997</v>
      </c>
      <c r="H50" s="35">
        <v>32357650.550000001</v>
      </c>
      <c r="I50" s="35"/>
      <c r="J50" s="35">
        <v>-599858.09</v>
      </c>
      <c r="K50" s="35">
        <v>503984.55</v>
      </c>
      <c r="L50" s="35"/>
      <c r="M50" s="35">
        <v>-4045765.05</v>
      </c>
      <c r="N50" s="35">
        <v>-156825.46</v>
      </c>
      <c r="O50" s="35">
        <f t="shared" si="3"/>
        <v>61078267.169999994</v>
      </c>
      <c r="P50" s="35">
        <v>56779803.119999997</v>
      </c>
    </row>
    <row r="51" spans="1:16" s="36" customFormat="1" hidden="1" x14ac:dyDescent="0.35">
      <c r="A51" s="50" t="str">
        <f xml:space="preserve"> _xll.EPMOlapMemberO("[PRODUCT].[PARENTH1].[TBA]","","To be Allocated","","000")</f>
        <v>To be Allocated</v>
      </c>
      <c r="B51" s="35"/>
      <c r="C51" s="35"/>
      <c r="D51" s="35"/>
      <c r="E51" s="35"/>
      <c r="F51" s="35"/>
      <c r="G51" s="35">
        <f t="shared" si="2"/>
        <v>0</v>
      </c>
      <c r="H51" s="35"/>
      <c r="I51" s="35"/>
      <c r="J51" s="35"/>
      <c r="K51" s="35"/>
      <c r="L51" s="35"/>
      <c r="M51" s="35"/>
      <c r="N51" s="35"/>
      <c r="O51" s="35">
        <f t="shared" si="3"/>
        <v>0</v>
      </c>
      <c r="P51" s="35"/>
    </row>
    <row r="52" spans="1:16" s="36" customFormat="1" x14ac:dyDescent="0.35">
      <c r="A52" s="50" t="str">
        <f xml:space="preserve"> _xll.EPMOlapMemberO("[PRODUCT].[PARENTH1].[MRK_TOT]","","Merck Products","","000")</f>
        <v>Merck Products</v>
      </c>
      <c r="B52" s="35"/>
      <c r="C52" s="35">
        <v>-56414.17</v>
      </c>
      <c r="D52" s="35"/>
      <c r="E52" s="35">
        <v>-418.58</v>
      </c>
      <c r="F52" s="35">
        <v>383476.09</v>
      </c>
      <c r="G52" s="35">
        <f t="shared" si="2"/>
        <v>0</v>
      </c>
      <c r="H52" s="35">
        <v>326643.34000000003</v>
      </c>
      <c r="I52" s="35"/>
      <c r="J52" s="35"/>
      <c r="K52" s="35"/>
      <c r="L52" s="35"/>
      <c r="M52" s="35"/>
      <c r="N52" s="35"/>
      <c r="O52" s="35">
        <f t="shared" si="3"/>
        <v>0</v>
      </c>
      <c r="P52" s="35"/>
    </row>
    <row r="53" spans="1:16" s="36" customFormat="1" x14ac:dyDescent="0.35">
      <c r="A53" s="41" t="str">
        <f xml:space="preserve"> _xll.EPMOlapMemberO("[PRODUCT].[PARENTH1].[PRODUCT]","","Total NewCo Products","","000")</f>
        <v>Total NewCo Products</v>
      </c>
      <c r="B53" s="35">
        <v>347187411.75999999</v>
      </c>
      <c r="C53" s="35">
        <v>299091940.07999998</v>
      </c>
      <c r="D53" s="35">
        <v>239643416.68000001</v>
      </c>
      <c r="E53" s="35">
        <v>427403158.94999999</v>
      </c>
      <c r="F53" s="35">
        <v>245602154.56</v>
      </c>
      <c r="G53" s="35">
        <f t="shared" si="2"/>
        <v>44577711.100000143</v>
      </c>
      <c r="H53" s="35">
        <v>1603505793.1300001</v>
      </c>
      <c r="I53" s="35"/>
      <c r="J53" s="35">
        <v>339911939.56999999</v>
      </c>
      <c r="K53" s="35">
        <v>345009213.14999998</v>
      </c>
      <c r="L53" s="35">
        <v>218326394.41999999</v>
      </c>
      <c r="M53" s="35">
        <v>440440599.83999997</v>
      </c>
      <c r="N53" s="35">
        <v>207865243.59999999</v>
      </c>
      <c r="O53" s="35">
        <f t="shared" si="3"/>
        <v>61170013.970000029</v>
      </c>
      <c r="P53" s="35">
        <v>1612723404.55</v>
      </c>
    </row>
    <row r="54" spans="1:16" x14ac:dyDescent="0.35">
      <c r="A54" s="34"/>
    </row>
    <row r="55" spans="1:16" x14ac:dyDescent="0.35">
      <c r="A55" s="34"/>
    </row>
    <row r="56" spans="1:16" hidden="1" x14ac:dyDescent="0.35">
      <c r="A56" s="43" t="str">
        <f xml:space="preserve"> _xll.EPMOlapMemberO("[PRODUCT].[PARENTH1].[BGW]","","Nuvaring AG","","000")</f>
        <v>Nuvaring AG</v>
      </c>
      <c r="B56" s="31">
        <v>10300122</v>
      </c>
      <c r="G56" s="31">
        <f t="shared" si="2"/>
        <v>0</v>
      </c>
      <c r="H56" s="31">
        <v>10300122</v>
      </c>
      <c r="J56" s="31">
        <v>40562589.119999997</v>
      </c>
      <c r="O56" s="31">
        <v>0</v>
      </c>
      <c r="P56" s="31">
        <v>40562589.119999997</v>
      </c>
    </row>
    <row r="57" spans="1:16" hidden="1" x14ac:dyDescent="0.35">
      <c r="A57" s="43" t="str">
        <f xml:space="preserve"> _xll.EPMOlapMemberO("[PRODUCT].[PARENTH1].[MERCILON]","","Mercilon Products","","000")</f>
        <v>Mercilon Products</v>
      </c>
      <c r="C57" s="31">
        <v>3240537.15</v>
      </c>
      <c r="E57" s="31">
        <v>2543013.85</v>
      </c>
      <c r="F57" s="31">
        <v>2366662.2200000002</v>
      </c>
      <c r="G57" s="31">
        <f t="shared" si="2"/>
        <v>0</v>
      </c>
      <c r="H57" s="31">
        <v>8150213.2199999997</v>
      </c>
      <c r="K57" s="31">
        <v>3802646.06</v>
      </c>
      <c r="M57" s="31">
        <v>2691578.43</v>
      </c>
      <c r="N57" s="31">
        <v>2972851.42</v>
      </c>
      <c r="O57" s="31">
        <v>0</v>
      </c>
      <c r="P57" s="31">
        <v>9467076.3399999999</v>
      </c>
    </row>
    <row r="58" spans="1:16" hidden="1" x14ac:dyDescent="0.35">
      <c r="A58" s="43" t="str">
        <f xml:space="preserve"> _xll.EPMOlapMemberO("[PRODUCT].[PARENTH1].[XMA]","","Marvelon Desogen","","000")</f>
        <v>Marvelon Desogen</v>
      </c>
      <c r="C58" s="31">
        <v>6567483.8700000001</v>
      </c>
      <c r="E58" s="31">
        <v>2991792.34</v>
      </c>
      <c r="F58" s="31">
        <v>4049645.96</v>
      </c>
      <c r="G58" s="31">
        <f t="shared" si="2"/>
        <v>0</v>
      </c>
      <c r="H58" s="31">
        <v>13608922.17</v>
      </c>
      <c r="K58" s="31">
        <v>6395414.2400000002</v>
      </c>
      <c r="M58" s="31">
        <v>3017026.47</v>
      </c>
      <c r="N58" s="31">
        <v>3044974.65</v>
      </c>
      <c r="O58" s="31">
        <v>0</v>
      </c>
      <c r="P58" s="31">
        <v>12457415.68</v>
      </c>
    </row>
    <row r="59" spans="1:16" hidden="1" x14ac:dyDescent="0.35">
      <c r="A59" s="43" t="str">
        <f xml:space="preserve"> _xll.EPMOlapMemberO("[PRODUCT].[PARENTH1].[XCE]","","Cerazette","","000")</f>
        <v>Cerazette</v>
      </c>
      <c r="C59" s="31">
        <v>546778.93000000005</v>
      </c>
      <c r="E59" s="31">
        <v>11309080.050000001</v>
      </c>
      <c r="F59" s="31">
        <v>5760329.71</v>
      </c>
      <c r="G59" s="31">
        <f t="shared" si="2"/>
        <v>0</v>
      </c>
      <c r="H59" s="31">
        <v>17616188.690000001</v>
      </c>
      <c r="K59" s="31">
        <v>568038.19999999995</v>
      </c>
      <c r="M59" s="31">
        <v>11493507.439999999</v>
      </c>
      <c r="N59" s="31">
        <v>3848543.14</v>
      </c>
      <c r="O59" s="31">
        <v>0</v>
      </c>
      <c r="P59" s="31">
        <v>15910089.09</v>
      </c>
    </row>
    <row r="60" spans="1:16" hidden="1" x14ac:dyDescent="0.35">
      <c r="A60" s="43" t="str">
        <f xml:space="preserve"> _xll.EPMOlapMemberO("[PRODUCT].[PARENTH1].[XQQ]","","Desogestrel-Ethinylestradiol","","000")</f>
        <v>Desogestrel-Ethinylestradiol</v>
      </c>
      <c r="F60" s="31">
        <v>359336.56</v>
      </c>
      <c r="G60" s="31">
        <f t="shared" si="2"/>
        <v>0</v>
      </c>
      <c r="H60" s="31">
        <v>359336.56</v>
      </c>
      <c r="N60" s="31">
        <v>-601.35</v>
      </c>
      <c r="O60" s="31">
        <v>0</v>
      </c>
      <c r="P60" s="31">
        <v>-601.34</v>
      </c>
    </row>
    <row r="61" spans="1:16" hidden="1" x14ac:dyDescent="0.35">
      <c r="A61" s="43" t="str">
        <f xml:space="preserve"> _xll.EPMOlapMemberO("[PRODUCT].[PARENTH1].[XLL]","","Exluton","","000")</f>
        <v>Exluton</v>
      </c>
      <c r="C61" s="31">
        <v>650504.36</v>
      </c>
      <c r="E61" s="31">
        <v>454094.96</v>
      </c>
      <c r="F61" s="31">
        <v>168215.33</v>
      </c>
      <c r="G61" s="31">
        <f t="shared" si="2"/>
        <v>0</v>
      </c>
      <c r="H61" s="31">
        <v>1272814.6499999999</v>
      </c>
      <c r="K61" s="31">
        <v>749311.78</v>
      </c>
      <c r="M61" s="31">
        <v>397891.15</v>
      </c>
      <c r="N61" s="31">
        <v>57432.11</v>
      </c>
      <c r="O61" s="31">
        <v>0</v>
      </c>
      <c r="P61" s="31">
        <v>1204635.06</v>
      </c>
    </row>
    <row r="62" spans="1:16" hidden="1" x14ac:dyDescent="0.35">
      <c r="A62" s="44" t="str">
        <f xml:space="preserve"> _xll.EPMOlapMemberO("[PRODUCT].[PARENTH1].[CONTRACEPTIVE]","","Contraception","","000")</f>
        <v>Contraception</v>
      </c>
      <c r="B62" s="31">
        <v>171186797.65000001</v>
      </c>
      <c r="C62" s="31">
        <v>19183374.559999999</v>
      </c>
      <c r="D62" s="31">
        <v>93120.3</v>
      </c>
      <c r="E62" s="31">
        <v>57798451.560000002</v>
      </c>
      <c r="F62" s="31">
        <v>73414333.030000001</v>
      </c>
      <c r="G62" s="31">
        <f t="shared" si="2"/>
        <v>0</v>
      </c>
      <c r="H62" s="31">
        <v>321676077.10000002</v>
      </c>
      <c r="J62" s="31">
        <v>179656693.66</v>
      </c>
      <c r="K62" s="31">
        <v>21813827.239999998</v>
      </c>
      <c r="L62" s="31">
        <v>62617.67</v>
      </c>
      <c r="M62" s="31">
        <v>62084892.859999999</v>
      </c>
      <c r="N62" s="31">
        <v>33471294.789999999</v>
      </c>
      <c r="O62" s="31">
        <v>0</v>
      </c>
      <c r="P62" s="31">
        <v>297089327.62</v>
      </c>
    </row>
    <row r="63" spans="1:16" hidden="1" x14ac:dyDescent="0.35">
      <c r="A63" s="49" t="str">
        <f xml:space="preserve"> _xll.EPMOlapMemberO("[PRODUCT].[PARENTH1].[WOMENS_HEALTH_FRANCH]","","Women�s Health Franchise","","000")</f>
        <v>Women�s Health Franchise</v>
      </c>
      <c r="B63" s="31">
        <v>171186797.65000001</v>
      </c>
      <c r="C63" s="31">
        <v>19183374.559999999</v>
      </c>
      <c r="D63" s="31">
        <v>93120.3</v>
      </c>
      <c r="E63" s="31">
        <v>57798451.560000002</v>
      </c>
      <c r="F63" s="31">
        <v>73414333.030000001</v>
      </c>
      <c r="G63" s="31">
        <f t="shared" si="2"/>
        <v>0</v>
      </c>
      <c r="H63" s="31">
        <v>321676077.10000002</v>
      </c>
      <c r="J63" s="31">
        <v>179656693.66</v>
      </c>
      <c r="K63" s="31">
        <v>21813827.239999998</v>
      </c>
      <c r="L63" s="31">
        <v>62617.67</v>
      </c>
      <c r="M63" s="31">
        <v>62084892.859999999</v>
      </c>
      <c r="N63" s="31">
        <v>33471294.789999999</v>
      </c>
      <c r="O63" s="31">
        <v>0</v>
      </c>
      <c r="P63" s="31">
        <v>297089327.62</v>
      </c>
    </row>
    <row r="64" spans="1:16" hidden="1" x14ac:dyDescent="0.35">
      <c r="A64" s="44" t="str">
        <f xml:space="preserve"> _xll.EPMOlapMemberO("[PRODUCT].[PARENTH1].[XGL]","","Orgalutran","","000")</f>
        <v>Orgalutran</v>
      </c>
      <c r="B64" s="31">
        <v>3474673.51</v>
      </c>
      <c r="C64" s="31">
        <v>4749144.0199999996</v>
      </c>
      <c r="D64" s="31">
        <v>4406536.54</v>
      </c>
      <c r="E64" s="31">
        <v>9632715.6099999994</v>
      </c>
      <c r="F64" s="31">
        <v>3318523.07</v>
      </c>
      <c r="G64" s="31">
        <f t="shared" si="2"/>
        <v>0</v>
      </c>
      <c r="H64" s="31">
        <v>25581592.75</v>
      </c>
      <c r="J64" s="31">
        <v>4319807.07</v>
      </c>
      <c r="K64" s="31">
        <v>5446134.7199999997</v>
      </c>
      <c r="L64" s="31">
        <v>4377191.71</v>
      </c>
      <c r="M64" s="31">
        <v>8801085.5299999993</v>
      </c>
      <c r="N64" s="31">
        <v>2111706.7799999998</v>
      </c>
      <c r="O64" s="31">
        <v>0</v>
      </c>
      <c r="P64" s="31">
        <v>25055926.379999999</v>
      </c>
    </row>
    <row r="65" spans="1:16" hidden="1" x14ac:dyDescent="0.35">
      <c r="A65" s="44" t="str">
        <f xml:space="preserve"> _xll.EPMOlapMemberO("[PRODUCT].[PARENTH1].[ELO]","","Elonva","","000")</f>
        <v>Elonva</v>
      </c>
      <c r="C65" s="31">
        <v>1386087.01</v>
      </c>
      <c r="E65" s="31">
        <v>2631400.3199999998</v>
      </c>
      <c r="F65" s="31">
        <v>1666077.02</v>
      </c>
      <c r="G65" s="31">
        <f t="shared" si="2"/>
        <v>0</v>
      </c>
      <c r="H65" s="31">
        <v>5683564.3499999996</v>
      </c>
      <c r="K65" s="31">
        <v>1205419.3500000001</v>
      </c>
      <c r="M65" s="31">
        <v>3012429.14</v>
      </c>
      <c r="N65" s="31">
        <v>1347393.85</v>
      </c>
      <c r="O65" s="31">
        <v>0</v>
      </c>
      <c r="P65" s="31">
        <v>5565242.6100000003</v>
      </c>
    </row>
    <row r="66" spans="1:16" hidden="1" x14ac:dyDescent="0.35">
      <c r="A66" s="44" t="str">
        <f xml:space="preserve"> _xll.EPMOlapMemberO("[PRODUCT].[PARENTH1].[XPU]","","Follistim Puregon","","000")</f>
        <v>Follistim Puregon</v>
      </c>
      <c r="B66" s="31">
        <v>29203583.890000001</v>
      </c>
      <c r="C66" s="31">
        <v>5483821.25</v>
      </c>
      <c r="D66" s="31">
        <v>11954002.960000001</v>
      </c>
      <c r="E66" s="31">
        <v>9930341.5500000007</v>
      </c>
      <c r="F66" s="31">
        <v>2879987.27</v>
      </c>
      <c r="G66" s="31">
        <f t="shared" si="2"/>
        <v>0</v>
      </c>
      <c r="H66" s="31">
        <v>59451736.920000002</v>
      </c>
      <c r="J66" s="31">
        <v>24164490.289999999</v>
      </c>
      <c r="K66" s="31">
        <v>4834310.79</v>
      </c>
      <c r="L66" s="31">
        <v>13648800.83</v>
      </c>
      <c r="M66" s="31">
        <v>12856387.98</v>
      </c>
      <c r="N66" s="31">
        <v>1556761.78</v>
      </c>
      <c r="O66" s="31">
        <v>0</v>
      </c>
      <c r="P66" s="31">
        <v>57060752.210000001</v>
      </c>
    </row>
    <row r="67" spans="1:16" hidden="1" x14ac:dyDescent="0.35">
      <c r="A67" s="44" t="str">
        <f xml:space="preserve"> _xll.EPMOlapMemberO("[PRODUCT].[PARENTH1].[PRG]","","Pregnyl","","000")</f>
        <v>Pregnyl</v>
      </c>
      <c r="B67" s="31">
        <v>3348928.81</v>
      </c>
      <c r="C67" s="31">
        <v>-751284.03</v>
      </c>
      <c r="E67" s="31">
        <v>-145316.04999999999</v>
      </c>
      <c r="F67" s="31">
        <v>120565.51</v>
      </c>
      <c r="G67" s="31">
        <f t="shared" si="2"/>
        <v>0</v>
      </c>
      <c r="H67" s="31">
        <v>2572894.2400000002</v>
      </c>
      <c r="J67" s="31">
        <v>4227909.71</v>
      </c>
      <c r="K67" s="31">
        <v>418199.03</v>
      </c>
      <c r="M67" s="31">
        <v>912124.67</v>
      </c>
      <c r="N67" s="31">
        <v>231716.42</v>
      </c>
      <c r="O67" s="31">
        <v>0</v>
      </c>
      <c r="P67" s="31">
        <v>5674654.8499999996</v>
      </c>
    </row>
    <row r="68" spans="1:16" hidden="1" x14ac:dyDescent="0.35">
      <c r="A68" s="49" t="str">
        <f xml:space="preserve"> _xll.EPMOlapMemberO("[PRODUCT].[PARENTH1].[FERTILITY]","","Fertility","","000")</f>
        <v>Fertility</v>
      </c>
      <c r="B68" s="31">
        <v>36027186.210000001</v>
      </c>
      <c r="C68" s="31">
        <v>10867768.25</v>
      </c>
      <c r="D68" s="31">
        <v>16360539.5</v>
      </c>
      <c r="E68" s="31">
        <v>22049141.43</v>
      </c>
      <c r="F68" s="31">
        <v>7985152.8700000001</v>
      </c>
      <c r="G68" s="31">
        <f t="shared" si="2"/>
        <v>0</v>
      </c>
      <c r="H68" s="31">
        <v>93289788.260000005</v>
      </c>
      <c r="J68" s="31">
        <v>32712207.07</v>
      </c>
      <c r="K68" s="31">
        <v>11904063.890000001</v>
      </c>
      <c r="L68" s="31">
        <v>18025992.539999999</v>
      </c>
      <c r="M68" s="31">
        <v>25582027.32</v>
      </c>
      <c r="N68" s="31">
        <v>5247578.83</v>
      </c>
      <c r="O68" s="31">
        <v>0</v>
      </c>
      <c r="P68" s="31">
        <v>93356576.049999997</v>
      </c>
    </row>
    <row r="69" spans="1:16" hidden="1" x14ac:dyDescent="0.35">
      <c r="A69" s="46" t="str">
        <f xml:space="preserve"> _xll.EPMOlapMemberO("[PRODUCT].[PARENTH1].[WOMENS_HEALTH]","","Total Women's Health","","000")</f>
        <v>Total Women's Health</v>
      </c>
      <c r="B69" s="31">
        <v>207213983.86000001</v>
      </c>
      <c r="C69" s="31">
        <v>30051142.809999999</v>
      </c>
      <c r="D69" s="31">
        <v>16453659.800000001</v>
      </c>
      <c r="E69" s="31">
        <v>79847592.989999995</v>
      </c>
      <c r="F69" s="31">
        <v>81399485.900000006</v>
      </c>
      <c r="G69" s="31">
        <f t="shared" si="2"/>
        <v>0</v>
      </c>
      <c r="H69" s="31">
        <v>414965865.36000001</v>
      </c>
      <c r="J69" s="31">
        <v>212368900.72999999</v>
      </c>
      <c r="K69" s="31">
        <v>33717891.130000003</v>
      </c>
      <c r="L69" s="31">
        <v>18088610.210000001</v>
      </c>
      <c r="M69" s="31">
        <v>87666920.180000007</v>
      </c>
      <c r="N69" s="31">
        <v>38718873.619999997</v>
      </c>
      <c r="O69" s="31">
        <v>0</v>
      </c>
      <c r="P69" s="31">
        <v>390445903.67000002</v>
      </c>
    </row>
    <row r="70" spans="1:16" hidden="1" x14ac:dyDescent="0.35">
      <c r="A70" s="44" t="str">
        <f xml:space="preserve"> _xll.EPMOlapMemberO("[PRODUCT].[PARENTH1].[ETA]","","Brenzys","","000")</f>
        <v>Brenzys</v>
      </c>
      <c r="C70" s="31">
        <v>6406845.8399999999</v>
      </c>
      <c r="E70" s="31">
        <v>5494404.9699999997</v>
      </c>
      <c r="F70" s="31">
        <v>16256689.789999999</v>
      </c>
      <c r="G70" s="31">
        <f t="shared" si="2"/>
        <v>0</v>
      </c>
      <c r="H70" s="31">
        <v>28157940.600000001</v>
      </c>
      <c r="K70" s="31">
        <v>3845716.12</v>
      </c>
      <c r="M70" s="31">
        <v>5026785.04</v>
      </c>
      <c r="N70" s="31">
        <v>13821749.560000001</v>
      </c>
      <c r="O70" s="31">
        <v>0</v>
      </c>
      <c r="P70" s="31">
        <v>22694250.829999998</v>
      </c>
    </row>
    <row r="71" spans="1:16" hidden="1" x14ac:dyDescent="0.35">
      <c r="A71" s="44" t="str">
        <f xml:space="preserve"> _xll.EPMOlapMemberO("[PRODUCT].[PARENTH1].[SBT]","","Renflexis","","000")</f>
        <v>Renflexis</v>
      </c>
      <c r="B71" s="31">
        <v>45759609.369999997</v>
      </c>
      <c r="C71" s="31">
        <v>641143.29</v>
      </c>
      <c r="E71" s="31">
        <v>4124273.67</v>
      </c>
      <c r="G71" s="31">
        <f t="shared" si="2"/>
        <v>0</v>
      </c>
      <c r="H71" s="31">
        <v>50525026.329999998</v>
      </c>
      <c r="J71" s="31">
        <v>35048697.740000002</v>
      </c>
      <c r="K71" s="31">
        <v>708614.98</v>
      </c>
      <c r="M71" s="31">
        <v>3207267.61</v>
      </c>
      <c r="O71" s="31">
        <v>0</v>
      </c>
      <c r="P71" s="31">
        <v>38964580.439999998</v>
      </c>
    </row>
    <row r="72" spans="1:16" hidden="1" x14ac:dyDescent="0.35">
      <c r="A72" s="44" t="str">
        <f xml:space="preserve"> _xll.EPMOlapMemberO("[PRODUCT].[PARENTH1].[OBP]","","Other Biosimilar Products","","000")</f>
        <v>Other Biosimilar Products</v>
      </c>
      <c r="G72" s="31">
        <f t="shared" si="2"/>
        <v>0</v>
      </c>
      <c r="O72" s="31">
        <v>0</v>
      </c>
    </row>
    <row r="73" spans="1:16" hidden="1" x14ac:dyDescent="0.35">
      <c r="A73" s="44" t="str">
        <f xml:space="preserve"> _xll.EPMOlapMemberO("[PRODUCT].[PARENTH1].[ADA]","","Hadlima","","000")</f>
        <v>Hadlima</v>
      </c>
      <c r="C73" s="31">
        <v>-242848.63</v>
      </c>
      <c r="E73" s="31">
        <v>4011683.62</v>
      </c>
      <c r="G73" s="31">
        <f t="shared" si="2"/>
        <v>0</v>
      </c>
      <c r="H73" s="31">
        <v>3768834.99</v>
      </c>
      <c r="O73" s="31">
        <v>0</v>
      </c>
    </row>
    <row r="74" spans="1:16" hidden="1" x14ac:dyDescent="0.35">
      <c r="A74" s="49" t="str">
        <f xml:space="preserve"> _xll.EPMOlapMemberO("[PRODUCT].[PARENTH1].[MBIOVEN]","","Biosimilars - Immunology","","000")</f>
        <v>Biosimilars - Immunology</v>
      </c>
      <c r="B74" s="31">
        <v>45759609.369999997</v>
      </c>
      <c r="C74" s="31">
        <v>6805140.5</v>
      </c>
      <c r="E74" s="31">
        <v>13630362.26</v>
      </c>
      <c r="F74" s="31">
        <v>16256689.789999999</v>
      </c>
      <c r="G74" s="31">
        <f t="shared" si="2"/>
        <v>0</v>
      </c>
      <c r="H74" s="31">
        <v>82451801.920000002</v>
      </c>
      <c r="J74" s="31">
        <v>35048697.740000002</v>
      </c>
      <c r="K74" s="31">
        <v>4554331.0999999996</v>
      </c>
      <c r="M74" s="31">
        <v>8234052.6500000004</v>
      </c>
      <c r="N74" s="31">
        <v>13821749.560000001</v>
      </c>
      <c r="O74" s="31">
        <v>0</v>
      </c>
      <c r="P74" s="31">
        <v>61658831.270000003</v>
      </c>
    </row>
    <row r="75" spans="1:16" hidden="1" x14ac:dyDescent="0.35">
      <c r="A75" s="44" t="str">
        <f xml:space="preserve"> _xll.EPMOlapMemberO("[PRODUCT].[PARENTH1].[SBF]","","Ontruzant","","000")</f>
        <v>Ontruzant</v>
      </c>
      <c r="B75" s="31">
        <v>14479673.130000001</v>
      </c>
      <c r="C75" s="31">
        <v>707773.28</v>
      </c>
      <c r="E75" s="31">
        <v>10512348.08</v>
      </c>
      <c r="F75" s="31">
        <v>-32051.68</v>
      </c>
      <c r="G75" s="31">
        <f t="shared" ref="G75:G138" si="6">H75-SUM(B75:F75)</f>
        <v>0</v>
      </c>
      <c r="H75" s="31">
        <v>25667742.809999999</v>
      </c>
      <c r="J75" s="31">
        <v>1771011.49</v>
      </c>
      <c r="K75" s="31">
        <v>44219.13</v>
      </c>
      <c r="M75" s="31">
        <v>19581375.920000002</v>
      </c>
      <c r="N75" s="31">
        <v>15723719.539999999</v>
      </c>
      <c r="O75" s="31">
        <v>0</v>
      </c>
      <c r="P75" s="31">
        <v>37120326.350000001</v>
      </c>
    </row>
    <row r="76" spans="1:16" hidden="1" x14ac:dyDescent="0.35">
      <c r="A76" s="44" t="str">
        <f xml:space="preserve"> _xll.EPMOlapMemberO("[PRODUCT].[PARENTH1].[SBE]","","Aybintio","","000")</f>
        <v>Aybintio</v>
      </c>
      <c r="E76" s="31">
        <v>10356581.76</v>
      </c>
      <c r="G76" s="31">
        <f t="shared" si="6"/>
        <v>0</v>
      </c>
      <c r="H76" s="31">
        <v>10356581.76</v>
      </c>
      <c r="M76" s="31">
        <v>4423621.93</v>
      </c>
      <c r="O76" s="31">
        <v>0</v>
      </c>
      <c r="P76" s="31">
        <v>4423621.97</v>
      </c>
    </row>
    <row r="77" spans="1:16" hidden="1" x14ac:dyDescent="0.35">
      <c r="A77" s="49" t="str">
        <f xml:space="preserve"> _xll.EPMOlapMemberO("[PRODUCT].[PARENTH1].[OBIO]","","Biosimilars - Oncology","","000")</f>
        <v>Biosimilars - Oncology</v>
      </c>
      <c r="B77" s="31">
        <v>14479673.130000001</v>
      </c>
      <c r="C77" s="31">
        <v>707773.28</v>
      </c>
      <c r="E77" s="31">
        <v>20868929.84</v>
      </c>
      <c r="F77" s="31">
        <v>-32051.68</v>
      </c>
      <c r="G77" s="31">
        <f t="shared" si="6"/>
        <v>0</v>
      </c>
      <c r="H77" s="31">
        <v>36024324.57</v>
      </c>
      <c r="J77" s="31">
        <v>1771011.49</v>
      </c>
      <c r="K77" s="31">
        <v>44219.13</v>
      </c>
      <c r="M77" s="31">
        <v>24004997.850000001</v>
      </c>
      <c r="N77" s="31">
        <v>15723719.539999999</v>
      </c>
      <c r="O77" s="31">
        <v>0</v>
      </c>
      <c r="P77" s="31">
        <v>41543948.32</v>
      </c>
    </row>
    <row r="78" spans="1:16" hidden="1" x14ac:dyDescent="0.35">
      <c r="A78" s="46" t="str">
        <f xml:space="preserve"> _xll.EPMOlapMemberO("[PRODUCT].[PARENTH1].[PROJECT_SONG]","","Biosimilars - Total","","000")</f>
        <v>Biosimilars - Total</v>
      </c>
      <c r="B78" s="31">
        <v>60239282.5</v>
      </c>
      <c r="C78" s="31">
        <v>7512913.7800000003</v>
      </c>
      <c r="E78" s="31">
        <v>34499292.100000001</v>
      </c>
      <c r="F78" s="31">
        <v>16224638.109999999</v>
      </c>
      <c r="G78" s="31">
        <f t="shared" si="6"/>
        <v>0</v>
      </c>
      <c r="H78" s="31">
        <v>118476126.48999999</v>
      </c>
      <c r="J78" s="31">
        <v>36819709.229999997</v>
      </c>
      <c r="K78" s="31">
        <v>4598550.2300000004</v>
      </c>
      <c r="M78" s="31">
        <v>32239050.5</v>
      </c>
      <c r="N78" s="31">
        <v>29545469.100000001</v>
      </c>
      <c r="O78" s="31">
        <v>0</v>
      </c>
      <c r="P78" s="31">
        <v>103202779.59</v>
      </c>
    </row>
    <row r="79" spans="1:16" hidden="1" x14ac:dyDescent="0.35">
      <c r="A79" s="44" t="str">
        <f xml:space="preserve"> _xll.EPMOlapMemberO("[PRODUCT].[PARENTH1].[NASONEX]","","Nasonex Products","","000")</f>
        <v>Nasonex Products</v>
      </c>
      <c r="B79" s="31">
        <v>1942211.46</v>
      </c>
      <c r="C79" s="31">
        <v>7457715.4299999997</v>
      </c>
      <c r="D79" s="31">
        <v>21256325.420000002</v>
      </c>
      <c r="E79" s="31">
        <v>12064649.119999999</v>
      </c>
      <c r="F79" s="31">
        <v>19078336.289999999</v>
      </c>
      <c r="G79" s="31">
        <f t="shared" si="6"/>
        <v>658608</v>
      </c>
      <c r="H79" s="31">
        <v>62457845.719999999</v>
      </c>
      <c r="J79" s="31">
        <v>2615044.34</v>
      </c>
      <c r="K79" s="31">
        <v>7739663.8099999996</v>
      </c>
      <c r="L79" s="31">
        <v>19357563.010000002</v>
      </c>
      <c r="M79" s="31">
        <v>10327815.93</v>
      </c>
      <c r="N79" s="31">
        <v>17411636</v>
      </c>
      <c r="O79" s="31">
        <v>4.2552E-2</v>
      </c>
      <c r="P79" s="31">
        <v>57492642.07</v>
      </c>
    </row>
    <row r="80" spans="1:16" hidden="1" x14ac:dyDescent="0.35">
      <c r="A80" s="44" t="str">
        <f xml:space="preserve"> _xll.EPMOlapMemberO("[PRODUCT].[PARENTH1].[GRC]","","Nasonex AG","","000")</f>
        <v>Nasonex AG</v>
      </c>
      <c r="B80" s="31">
        <v>-876986.04</v>
      </c>
      <c r="C80" s="31">
        <v>8777851.7300000004</v>
      </c>
      <c r="G80" s="31">
        <f t="shared" si="6"/>
        <v>0</v>
      </c>
      <c r="H80" s="31">
        <v>7900865.6900000004</v>
      </c>
      <c r="J80" s="31">
        <v>2109371.2799999998</v>
      </c>
      <c r="K80" s="31">
        <v>5329306.43</v>
      </c>
      <c r="O80" s="31">
        <v>0</v>
      </c>
      <c r="P80" s="31">
        <v>7438677.71</v>
      </c>
    </row>
    <row r="81" spans="1:16" hidden="1" x14ac:dyDescent="0.35">
      <c r="A81" s="44" t="str">
        <f xml:space="preserve"> _xll.EPMOlapMemberO("[PRODUCT].[PARENTH1].[SINGULAIRPROD]","","Singulair Products","","000")</f>
        <v>Singulair Products</v>
      </c>
      <c r="B81" s="31">
        <v>4758763.8600000003</v>
      </c>
      <c r="C81" s="31">
        <v>45794501.380000003</v>
      </c>
      <c r="D81" s="31">
        <v>38112203.579999998</v>
      </c>
      <c r="E81" s="31">
        <v>15770934.6</v>
      </c>
      <c r="F81" s="31">
        <v>8726335.3499999996</v>
      </c>
      <c r="G81" s="31">
        <f t="shared" si="6"/>
        <v>0</v>
      </c>
      <c r="H81" s="31">
        <v>113162738.77</v>
      </c>
      <c r="J81" s="31">
        <v>4196070.26</v>
      </c>
      <c r="K81" s="31">
        <v>50927606.950000003</v>
      </c>
      <c r="L81" s="31">
        <v>43455981.600000001</v>
      </c>
      <c r="M81" s="31">
        <v>16531230.310000001</v>
      </c>
      <c r="N81" s="31">
        <v>8957444.7699999996</v>
      </c>
      <c r="O81" s="31">
        <v>0</v>
      </c>
      <c r="P81" s="31">
        <v>124068334.64</v>
      </c>
    </row>
    <row r="82" spans="1:16" hidden="1" x14ac:dyDescent="0.35">
      <c r="A82" s="44" t="str">
        <f xml:space="preserve"> _xll.EPMOlapMemberO("[PRODUCT].[PARENTH1].[XFV]","","Dulera","","000")</f>
        <v>Dulera</v>
      </c>
      <c r="B82" s="31">
        <v>33618765.32</v>
      </c>
      <c r="E82" s="31">
        <v>10071906.359999999</v>
      </c>
      <c r="F82" s="31">
        <v>163623.23000000001</v>
      </c>
      <c r="G82" s="31">
        <f t="shared" si="6"/>
        <v>0</v>
      </c>
      <c r="H82" s="31">
        <v>43854294.909999996</v>
      </c>
      <c r="J82" s="31">
        <v>32964831.059999999</v>
      </c>
      <c r="M82" s="31">
        <v>8362586.6799999997</v>
      </c>
      <c r="N82" s="31">
        <v>131053.02</v>
      </c>
      <c r="O82" s="31">
        <v>0</v>
      </c>
      <c r="P82" s="31">
        <v>41458470.829999998</v>
      </c>
    </row>
    <row r="83" spans="1:16" hidden="1" x14ac:dyDescent="0.35">
      <c r="A83" s="44" t="str">
        <f xml:space="preserve"> _xll.EPMOlapMemberO("[PRODUCT].[PARENTH1].[DAG]","","Dulera AG","","000")</f>
        <v>Dulera AG</v>
      </c>
      <c r="G83" s="31">
        <f t="shared" si="6"/>
        <v>0</v>
      </c>
      <c r="O83" s="31">
        <v>0</v>
      </c>
    </row>
    <row r="84" spans="1:16" hidden="1" x14ac:dyDescent="0.35">
      <c r="A84" s="44" t="str">
        <f xml:space="preserve"> _xll.EPMOlapMemberO("[PRODUCT].[PARENTH1].[XAF]","","Asmanex","","000")</f>
        <v>Asmanex</v>
      </c>
      <c r="B84" s="31">
        <v>13988836.1</v>
      </c>
      <c r="C84" s="31">
        <v>485570.73</v>
      </c>
      <c r="E84" s="31">
        <v>1005831.8</v>
      </c>
      <c r="G84" s="31">
        <f t="shared" si="6"/>
        <v>200808</v>
      </c>
      <c r="H84" s="31">
        <v>15681046.630000001</v>
      </c>
      <c r="J84" s="31">
        <v>17315044.170000002</v>
      </c>
      <c r="K84" s="31">
        <v>646255.80000000005</v>
      </c>
      <c r="M84" s="31">
        <v>1427883.47</v>
      </c>
      <c r="N84" s="31">
        <v>-22139.7</v>
      </c>
      <c r="O84" s="31">
        <v>0</v>
      </c>
      <c r="P84" s="31">
        <v>19617819.850000001</v>
      </c>
    </row>
    <row r="85" spans="1:16" hidden="1" x14ac:dyDescent="0.35">
      <c r="A85" s="43" t="str">
        <f xml:space="preserve"> _xll.EPMOlapMemberO("[PRODUCT].[PARENTH1].[XCY]","","Clarinex Tablets","","000")</f>
        <v>Clarinex Tablets</v>
      </c>
      <c r="B85" s="31">
        <v>938370.55</v>
      </c>
      <c r="C85" s="31">
        <v>8377034.9000000004</v>
      </c>
      <c r="D85" s="31">
        <v>1145.47</v>
      </c>
      <c r="E85" s="31">
        <v>8338960.2800000003</v>
      </c>
      <c r="F85" s="31">
        <v>5602090.1500000004</v>
      </c>
      <c r="G85" s="31">
        <f t="shared" si="6"/>
        <v>0</v>
      </c>
      <c r="H85" s="31">
        <v>23257601.350000001</v>
      </c>
      <c r="J85" s="31">
        <v>1848111.43</v>
      </c>
      <c r="K85" s="31">
        <v>1282081.6100000001</v>
      </c>
      <c r="L85" s="31">
        <v>90363.32</v>
      </c>
      <c r="M85" s="31">
        <v>8458599.2599999998</v>
      </c>
      <c r="N85" s="31">
        <v>5060376.59</v>
      </c>
      <c r="O85" s="31">
        <v>0</v>
      </c>
      <c r="P85" s="31">
        <v>16739532.810000001</v>
      </c>
    </row>
    <row r="86" spans="1:16" hidden="1" x14ac:dyDescent="0.35">
      <c r="A86" s="43" t="str">
        <f xml:space="preserve"> _xll.EPMOlapMemberO("[PRODUCT].[PARENTH1].[XCO]","","Clarinex Syrup","","000")</f>
        <v>Clarinex Syrup</v>
      </c>
      <c r="C86" s="31">
        <v>758512.43</v>
      </c>
      <c r="E86" s="31">
        <v>2674160.62</v>
      </c>
      <c r="F86" s="31">
        <v>1792178.11</v>
      </c>
      <c r="G86" s="31">
        <f t="shared" si="6"/>
        <v>0</v>
      </c>
      <c r="H86" s="31">
        <v>5224851.16</v>
      </c>
      <c r="J86" s="31">
        <v>0</v>
      </c>
      <c r="K86" s="31">
        <v>1194770.98</v>
      </c>
      <c r="M86" s="31">
        <v>2125163.37</v>
      </c>
      <c r="N86" s="31">
        <v>929848.63</v>
      </c>
      <c r="O86" s="31">
        <v>0</v>
      </c>
      <c r="P86" s="31">
        <v>4249783.3600000003</v>
      </c>
    </row>
    <row r="87" spans="1:16" hidden="1" x14ac:dyDescent="0.35">
      <c r="A87" s="43" t="str">
        <f xml:space="preserve"> _xll.EPMOlapMemberO("[PRODUCT].[PARENTH1].[XCU]","","Claritin Syrup","","000")</f>
        <v>Claritin Syrup</v>
      </c>
      <c r="G87" s="31">
        <f t="shared" si="6"/>
        <v>0</v>
      </c>
      <c r="K87" s="31">
        <v>62921.29</v>
      </c>
      <c r="M87" s="31">
        <v>-9148.7099999999991</v>
      </c>
      <c r="N87" s="31">
        <v>-15493.45</v>
      </c>
      <c r="O87" s="31">
        <v>0</v>
      </c>
      <c r="P87" s="31">
        <v>38279.129999999997</v>
      </c>
    </row>
    <row r="88" spans="1:16" hidden="1" x14ac:dyDescent="0.35">
      <c r="A88" s="43" t="str">
        <f xml:space="preserve"> _xll.EPMOlapMemberO("[PRODUCT].[PARENTH1].[XCX]","","Claritin Tablets ex-D","","000")</f>
        <v>Claritin Tablets ex-D</v>
      </c>
      <c r="G88" s="31">
        <f t="shared" si="6"/>
        <v>0</v>
      </c>
      <c r="M88" s="31">
        <v>-109649.45</v>
      </c>
      <c r="N88" s="31">
        <v>-14452.28</v>
      </c>
      <c r="O88" s="31">
        <v>0</v>
      </c>
      <c r="P88" s="31">
        <v>-124101.73</v>
      </c>
    </row>
    <row r="89" spans="1:16" hidden="1" x14ac:dyDescent="0.35">
      <c r="A89" s="43" t="str">
        <f xml:space="preserve"> _xll.EPMOlapMemberO("[PRODUCT].[PARENTH1].[XCG]","","Claritin D","","000")</f>
        <v>Claritin D</v>
      </c>
      <c r="C89" s="31">
        <v>-99072.29</v>
      </c>
      <c r="G89" s="31">
        <f t="shared" si="6"/>
        <v>0</v>
      </c>
      <c r="H89" s="31">
        <v>-99072.29</v>
      </c>
      <c r="K89" s="31">
        <v>0</v>
      </c>
      <c r="N89" s="31">
        <v>-110483.29</v>
      </c>
      <c r="O89" s="31">
        <v>0</v>
      </c>
      <c r="P89" s="31">
        <v>-110483.29</v>
      </c>
    </row>
    <row r="90" spans="1:16" hidden="1" x14ac:dyDescent="0.35">
      <c r="A90" s="44" t="str">
        <f xml:space="preserve"> _xll.EPMOlapMemberO("[PRODUCT].[PARENTH1].[CLARINEX_AERIUS]","","Clarinex_Aerius","","000")</f>
        <v>Clarinex_Aerius</v>
      </c>
      <c r="B90" s="31">
        <v>938370.55</v>
      </c>
      <c r="C90" s="31">
        <v>9036475.0399999991</v>
      </c>
      <c r="D90" s="31">
        <v>1145.47</v>
      </c>
      <c r="E90" s="31">
        <v>11013120.9</v>
      </c>
      <c r="F90" s="31">
        <v>7394268.2599999998</v>
      </c>
      <c r="G90" s="31">
        <f t="shared" si="6"/>
        <v>0</v>
      </c>
      <c r="H90" s="31">
        <v>28383380.219999999</v>
      </c>
      <c r="J90" s="31">
        <v>1848111.43</v>
      </c>
      <c r="K90" s="31">
        <v>2539773.88</v>
      </c>
      <c r="L90" s="31">
        <v>90363.32</v>
      </c>
      <c r="M90" s="31">
        <v>10464964.470000001</v>
      </c>
      <c r="N90" s="31">
        <v>5849796.2000000002</v>
      </c>
      <c r="O90" s="31">
        <v>0</v>
      </c>
      <c r="P90" s="31">
        <v>20793010.280000001</v>
      </c>
    </row>
    <row r="91" spans="1:16" hidden="1" x14ac:dyDescent="0.35">
      <c r="A91" s="44" t="str">
        <f xml:space="preserve"> _xll.EPMOlapMemberO("[PRODUCT].[PARENTH1].[LMC]","","Montaclar","","000")</f>
        <v>Montaclar</v>
      </c>
      <c r="F91" s="31">
        <v>725708.18</v>
      </c>
      <c r="G91" s="31">
        <f t="shared" si="6"/>
        <v>0</v>
      </c>
      <c r="H91" s="31">
        <v>725708.18</v>
      </c>
      <c r="N91" s="31">
        <v>520009.61</v>
      </c>
      <c r="O91" s="31">
        <v>0</v>
      </c>
      <c r="P91" s="31">
        <v>520009.6</v>
      </c>
    </row>
    <row r="92" spans="1:16" hidden="1" x14ac:dyDescent="0.35">
      <c r="A92" s="44" t="str">
        <f xml:space="preserve"> _xll.EPMOlapMemberO("[PRODUCT].[PARENTH1].[XAC]","","Celestone Other","","000")</f>
        <v>Celestone Other</v>
      </c>
      <c r="C92" s="31">
        <v>3770.84</v>
      </c>
      <c r="E92" s="31">
        <v>139559.57</v>
      </c>
      <c r="F92" s="31">
        <v>837822.03</v>
      </c>
      <c r="G92" s="31">
        <f t="shared" si="6"/>
        <v>0</v>
      </c>
      <c r="H92" s="31">
        <v>981152.44</v>
      </c>
      <c r="K92" s="31">
        <v>1815.11</v>
      </c>
      <c r="M92" s="31">
        <v>291014.45</v>
      </c>
      <c r="N92" s="31">
        <v>772295.92</v>
      </c>
      <c r="O92" s="31">
        <v>0</v>
      </c>
      <c r="P92" s="31">
        <v>1065125.6100000001</v>
      </c>
    </row>
    <row r="93" spans="1:16" hidden="1" x14ac:dyDescent="0.35">
      <c r="A93" s="49" t="str">
        <f xml:space="preserve"> _xll.EPMOlapMemberO("[PRODUCT].[PARENTH1].[LEGACY_RESP]","","Established Respiratory","","000")</f>
        <v>Established Respiratory</v>
      </c>
      <c r="B93" s="31">
        <v>54369961.25</v>
      </c>
      <c r="C93" s="31">
        <v>71555885.150000006</v>
      </c>
      <c r="D93" s="31">
        <v>59369674.469999999</v>
      </c>
      <c r="E93" s="31">
        <v>50066002.350000001</v>
      </c>
      <c r="F93" s="31">
        <v>36926093.340000004</v>
      </c>
      <c r="G93" s="31">
        <f t="shared" si="6"/>
        <v>859416</v>
      </c>
      <c r="H93" s="31">
        <v>273147032.56</v>
      </c>
      <c r="J93" s="31">
        <v>61048472.539999999</v>
      </c>
      <c r="K93" s="31">
        <v>67184421.980000004</v>
      </c>
      <c r="L93" s="31">
        <v>62903907.93</v>
      </c>
      <c r="M93" s="31">
        <v>47405495.310000002</v>
      </c>
      <c r="N93" s="31">
        <v>33620095.82</v>
      </c>
      <c r="O93" s="31">
        <v>4.2552E-2</v>
      </c>
      <c r="P93" s="31">
        <v>272454090.58999997</v>
      </c>
    </row>
    <row r="94" spans="1:16" hidden="1" x14ac:dyDescent="0.35">
      <c r="A94" s="43" t="str">
        <f xml:space="preserve"> _xll.EPMOlapMemberO("[PRODUCT].[PARENTH1].[ARCOXIA]","","Arcoxia Products","","000")</f>
        <v>Arcoxia Products</v>
      </c>
      <c r="C94" s="31">
        <v>9899710.0800000001</v>
      </c>
      <c r="D94" s="31">
        <v>9705812.1899999995</v>
      </c>
      <c r="E94" s="31">
        <v>16731480</v>
      </c>
      <c r="F94" s="31">
        <v>23861991.719999999</v>
      </c>
      <c r="G94" s="31">
        <f t="shared" si="6"/>
        <v>0</v>
      </c>
      <c r="H94" s="31">
        <v>60198993.990000002</v>
      </c>
      <c r="K94" s="31">
        <v>11382336.560000001</v>
      </c>
      <c r="L94" s="31">
        <v>6988473.6699999999</v>
      </c>
      <c r="M94" s="31">
        <v>15517454.35</v>
      </c>
      <c r="N94" s="31">
        <v>20242730.190000001</v>
      </c>
      <c r="O94" s="31">
        <v>0</v>
      </c>
      <c r="P94" s="31">
        <v>54130995.420000002</v>
      </c>
    </row>
    <row r="95" spans="1:16" hidden="1" x14ac:dyDescent="0.35">
      <c r="A95" s="47" t="str">
        <f xml:space="preserve"> _xll.EPMOlapMemberO("[PRODUCT].[PARENTH1].[XDP]","","Diprospan","","000")</f>
        <v>Diprospan</v>
      </c>
      <c r="C95" s="31">
        <v>967884.58</v>
      </c>
      <c r="D95" s="31">
        <v>6799248.4500000002</v>
      </c>
      <c r="E95" s="31">
        <v>6300764.1600000001</v>
      </c>
      <c r="F95" s="31">
        <v>19258153.960000001</v>
      </c>
      <c r="G95" s="31">
        <f t="shared" si="6"/>
        <v>0</v>
      </c>
      <c r="H95" s="31">
        <v>33326051.149999999</v>
      </c>
      <c r="K95" s="31">
        <v>1073176.8799999999</v>
      </c>
      <c r="L95" s="31">
        <v>5364359.16</v>
      </c>
      <c r="M95" s="31">
        <v>6107655.2999999998</v>
      </c>
      <c r="N95" s="31">
        <v>19063294.140000001</v>
      </c>
      <c r="O95" s="31">
        <v>0</v>
      </c>
      <c r="P95" s="31">
        <v>31608485.789999999</v>
      </c>
    </row>
    <row r="96" spans="1:16" hidden="1" x14ac:dyDescent="0.35">
      <c r="A96" s="47" t="str">
        <f xml:space="preserve"> _xll.EPMOlapMemberO("[PRODUCT].[PARENTH1].[XTE]","","Celestone","","000")</f>
        <v>Celestone</v>
      </c>
      <c r="B96" s="31">
        <v>1257976.05</v>
      </c>
      <c r="C96" s="31">
        <v>905104.9</v>
      </c>
      <c r="E96" s="31">
        <v>3570439.19</v>
      </c>
      <c r="F96" s="31">
        <v>4024923.05</v>
      </c>
      <c r="G96" s="31">
        <f t="shared" si="6"/>
        <v>0</v>
      </c>
      <c r="H96" s="31">
        <v>9758443.1899999995</v>
      </c>
      <c r="J96" s="31">
        <v>4596942.63</v>
      </c>
      <c r="K96" s="31">
        <v>1049770.02</v>
      </c>
      <c r="M96" s="31">
        <v>2872609.92</v>
      </c>
      <c r="N96" s="31">
        <v>2549065.4900000002</v>
      </c>
      <c r="O96" s="31">
        <v>0</v>
      </c>
      <c r="P96" s="31">
        <v>11068388.380000001</v>
      </c>
    </row>
    <row r="97" spans="1:16" hidden="1" x14ac:dyDescent="0.35">
      <c r="A97" s="47" t="str">
        <f xml:space="preserve"> _xll.EPMOlapMemberO("[PRODUCT].[PARENTH1].[CLS]","","Celestone AG","","000")</f>
        <v>Celestone AG</v>
      </c>
      <c r="B97" s="31">
        <v>2407923.67</v>
      </c>
      <c r="G97" s="31">
        <f t="shared" si="6"/>
        <v>0</v>
      </c>
      <c r="H97" s="31">
        <v>2407923.67</v>
      </c>
      <c r="O97" s="31">
        <v>0</v>
      </c>
    </row>
    <row r="98" spans="1:16" hidden="1" x14ac:dyDescent="0.35">
      <c r="A98" s="47" t="str">
        <f xml:space="preserve"> _xll.EPMOlapMemberO("[PRODUCT].[PARENTH1].[BTS]","","Betamethasone","","000")</f>
        <v>Betamethasone</v>
      </c>
      <c r="C98" s="31">
        <v>-15443.12</v>
      </c>
      <c r="E98" s="31">
        <v>98156.52</v>
      </c>
      <c r="F98" s="31">
        <v>129113.2</v>
      </c>
      <c r="G98" s="31">
        <f t="shared" si="6"/>
        <v>0</v>
      </c>
      <c r="H98" s="31">
        <v>211826.6</v>
      </c>
      <c r="N98" s="31">
        <v>235355.79</v>
      </c>
      <c r="O98" s="31">
        <v>0</v>
      </c>
      <c r="P98" s="31">
        <v>235355.79</v>
      </c>
    </row>
    <row r="99" spans="1:16" hidden="1" x14ac:dyDescent="0.35">
      <c r="A99" s="47" t="str">
        <f xml:space="preserve"> _xll.EPMOlapMemberO("[PRODUCT].[PARENTH1].[XWB]","","Meticorten","","000")</f>
        <v>Meticorten</v>
      </c>
      <c r="F99" s="31">
        <v>383130.7</v>
      </c>
      <c r="G99" s="31">
        <f t="shared" si="6"/>
        <v>0</v>
      </c>
      <c r="H99" s="31">
        <v>383130.7</v>
      </c>
      <c r="N99" s="31">
        <v>101559.64</v>
      </c>
      <c r="O99" s="31">
        <v>0</v>
      </c>
      <c r="P99" s="31">
        <v>101559.64</v>
      </c>
    </row>
    <row r="100" spans="1:16" hidden="1" x14ac:dyDescent="0.35">
      <c r="A100" s="43" t="str">
        <f xml:space="preserve"> _xll.EPMOlapMemberO("[PRODUCT].[PARENTH1].[INJECTABLE_STED]","","Injectable Steroids","","000")</f>
        <v>Injectable Steroids</v>
      </c>
      <c r="B100" s="31">
        <v>3665899.72</v>
      </c>
      <c r="C100" s="31">
        <v>1857546.36</v>
      </c>
      <c r="D100" s="31">
        <v>6799248.4500000002</v>
      </c>
      <c r="E100" s="31">
        <v>9969359.8699999992</v>
      </c>
      <c r="F100" s="31">
        <v>23795320.91</v>
      </c>
      <c r="G100" s="31">
        <f t="shared" si="6"/>
        <v>0</v>
      </c>
      <c r="H100" s="31">
        <v>46087375.310000002</v>
      </c>
      <c r="J100" s="31">
        <v>4596942.63</v>
      </c>
      <c r="K100" s="31">
        <v>2122946.9</v>
      </c>
      <c r="L100" s="31">
        <v>5364359.16</v>
      </c>
      <c r="M100" s="31">
        <v>8980265.2200000007</v>
      </c>
      <c r="N100" s="31">
        <v>21949275.059999999</v>
      </c>
      <c r="O100" s="31">
        <v>0</v>
      </c>
      <c r="P100" s="31">
        <v>43013789.600000001</v>
      </c>
    </row>
    <row r="101" spans="1:16" hidden="1" x14ac:dyDescent="0.35">
      <c r="A101" s="44" t="str">
        <f xml:space="preserve"> _xll.EPMOlapMemberO("[PRODUCT].[PARENTH1].[INJECTABLES]","","Established Pain","","000")</f>
        <v>Established Pain</v>
      </c>
      <c r="B101" s="31">
        <v>3665899.72</v>
      </c>
      <c r="C101" s="31">
        <v>11757256.439999999</v>
      </c>
      <c r="D101" s="31">
        <v>16505060.640000001</v>
      </c>
      <c r="E101" s="31">
        <v>26700839.870000001</v>
      </c>
      <c r="F101" s="31">
        <v>47657312.630000003</v>
      </c>
      <c r="G101" s="31">
        <f t="shared" si="6"/>
        <v>0</v>
      </c>
      <c r="H101" s="31">
        <v>106286369.3</v>
      </c>
      <c r="J101" s="31">
        <v>4596942.63</v>
      </c>
      <c r="K101" s="31">
        <v>13505283.460000001</v>
      </c>
      <c r="L101" s="31">
        <v>12352832.83</v>
      </c>
      <c r="M101" s="31">
        <v>24497719.57</v>
      </c>
      <c r="N101" s="31">
        <v>42192005.25</v>
      </c>
      <c r="O101" s="31">
        <v>0</v>
      </c>
      <c r="P101" s="31">
        <v>97144785.019999996</v>
      </c>
    </row>
    <row r="102" spans="1:16" hidden="1" x14ac:dyDescent="0.35">
      <c r="A102" s="43" t="str">
        <f xml:space="preserve"> _xll.EPMOlapMemberO("[PRODUCT].[PARENTH1].[FOSOMAXPROD]","","Fosamax Products","","000")</f>
        <v>Fosamax Products</v>
      </c>
      <c r="B102" s="31">
        <v>934903.41</v>
      </c>
      <c r="C102" s="31">
        <v>9946188.9199999999</v>
      </c>
      <c r="D102" s="31">
        <v>18223029.27</v>
      </c>
      <c r="E102" s="31">
        <v>9577759.6799999997</v>
      </c>
      <c r="F102" s="31">
        <v>4358193.59</v>
      </c>
      <c r="G102" s="31">
        <f t="shared" si="6"/>
        <v>0</v>
      </c>
      <c r="H102" s="31">
        <v>43040074.869999997</v>
      </c>
      <c r="J102" s="31">
        <v>1000320.7</v>
      </c>
      <c r="K102" s="31">
        <v>10850425.970000001</v>
      </c>
      <c r="L102" s="31">
        <v>13185829.949999999</v>
      </c>
      <c r="M102" s="31">
        <v>10515584.529999999</v>
      </c>
      <c r="N102" s="31">
        <v>4343884.37</v>
      </c>
      <c r="O102" s="31">
        <v>0</v>
      </c>
      <c r="P102" s="31">
        <v>39896046.170000002</v>
      </c>
    </row>
    <row r="103" spans="1:16" hidden="1" x14ac:dyDescent="0.35">
      <c r="A103" s="44" t="str">
        <f xml:space="preserve"> _xll.EPMOlapMemberO("[PRODUCT].[PARENTH1].[BONE]","","Bone","","000")</f>
        <v>Bone</v>
      </c>
      <c r="B103" s="31">
        <v>934903.41</v>
      </c>
      <c r="C103" s="31">
        <v>9946188.9199999999</v>
      </c>
      <c r="D103" s="31">
        <v>18223029.27</v>
      </c>
      <c r="E103" s="31">
        <v>9577759.6799999997</v>
      </c>
      <c r="F103" s="31">
        <v>4358193.59</v>
      </c>
      <c r="G103" s="31">
        <f t="shared" si="6"/>
        <v>0</v>
      </c>
      <c r="H103" s="31">
        <v>43040074.869999997</v>
      </c>
      <c r="J103" s="31">
        <v>1000320.7</v>
      </c>
      <c r="K103" s="31">
        <v>10850425.970000001</v>
      </c>
      <c r="L103" s="31">
        <v>13185829.949999999</v>
      </c>
      <c r="M103" s="31">
        <v>10515584.529999999</v>
      </c>
      <c r="N103" s="31">
        <v>4343884.37</v>
      </c>
      <c r="O103" s="31">
        <v>0</v>
      </c>
      <c r="P103" s="31">
        <v>39896046.170000002</v>
      </c>
    </row>
    <row r="104" spans="1:16" hidden="1" x14ac:dyDescent="0.35">
      <c r="A104" s="43" t="str">
        <f xml:space="preserve"> _xll.EPMOlapMemberO("[PRODUCT].[PARENTH1].[XKA]","","Lotrisone","","000")</f>
        <v>Lotrisone</v>
      </c>
      <c r="E104" s="31">
        <v>3178545.68</v>
      </c>
      <c r="F104" s="31">
        <v>126365.35</v>
      </c>
      <c r="G104" s="31">
        <f t="shared" si="6"/>
        <v>0</v>
      </c>
      <c r="H104" s="31">
        <v>3304911.03</v>
      </c>
      <c r="J104" s="31">
        <v>-1438.25</v>
      </c>
      <c r="M104" s="31">
        <v>3440253.49</v>
      </c>
      <c r="N104" s="31">
        <v>244317.38</v>
      </c>
      <c r="O104" s="31">
        <v>0</v>
      </c>
      <c r="P104" s="31">
        <v>3683132.86</v>
      </c>
    </row>
    <row r="105" spans="1:16" hidden="1" x14ac:dyDescent="0.35">
      <c r="A105" s="43" t="str">
        <f xml:space="preserve"> _xll.EPMOlapMemberO("[PRODUCT].[PARENTH1].[XCN]","","Elocon","","000")</f>
        <v>Elocon</v>
      </c>
      <c r="C105" s="31">
        <v>2762013.98</v>
      </c>
      <c r="E105" s="31">
        <v>7717940.2000000002</v>
      </c>
      <c r="F105" s="31">
        <v>2888686.83</v>
      </c>
      <c r="G105" s="31">
        <f t="shared" si="6"/>
        <v>0</v>
      </c>
      <c r="H105" s="31">
        <v>13368641.01</v>
      </c>
      <c r="J105" s="31">
        <v>-745.5</v>
      </c>
      <c r="K105" s="31">
        <v>2657717</v>
      </c>
      <c r="M105" s="31">
        <v>8473824.8100000005</v>
      </c>
      <c r="N105" s="31">
        <v>3294038.79</v>
      </c>
      <c r="O105" s="31">
        <v>0</v>
      </c>
      <c r="P105" s="31">
        <v>14424835.76</v>
      </c>
    </row>
    <row r="106" spans="1:16" hidden="1" x14ac:dyDescent="0.35">
      <c r="A106" s="43" t="str">
        <f xml:space="preserve"> _xll.EPMOlapMemberO("[PRODUCT].[PARENTH1].[XDI]","","Diprosone","","000")</f>
        <v>Diprosone</v>
      </c>
      <c r="B106" s="31">
        <v>268397.17</v>
      </c>
      <c r="C106" s="31">
        <v>6620989.7199999997</v>
      </c>
      <c r="E106" s="31">
        <v>12359156.689999999</v>
      </c>
      <c r="F106" s="31">
        <v>2724138.58</v>
      </c>
      <c r="G106" s="31">
        <f t="shared" si="6"/>
        <v>0</v>
      </c>
      <c r="H106" s="31">
        <v>21972682.16</v>
      </c>
      <c r="J106" s="31">
        <v>13096.23</v>
      </c>
      <c r="K106" s="31">
        <v>6331683.5099999998</v>
      </c>
      <c r="M106" s="31">
        <v>14797370.83</v>
      </c>
      <c r="N106" s="31">
        <v>2252644.27</v>
      </c>
      <c r="O106" s="31">
        <v>0</v>
      </c>
      <c r="P106" s="31">
        <v>23394795.440000001</v>
      </c>
    </row>
    <row r="107" spans="1:16" hidden="1" x14ac:dyDescent="0.35">
      <c r="A107" s="43" t="str">
        <f xml:space="preserve"> _xll.EPMOlapMemberO("[PRODUCT].[PARENTH1].[XVL]","","Valisone","","000")</f>
        <v>Valisone</v>
      </c>
      <c r="C107" s="31">
        <v>983004.42</v>
      </c>
      <c r="E107" s="31">
        <v>7870576.3399999999</v>
      </c>
      <c r="F107" s="31">
        <v>439606.12</v>
      </c>
      <c r="G107" s="31">
        <f t="shared" si="6"/>
        <v>0</v>
      </c>
      <c r="H107" s="31">
        <v>9293186.8800000008</v>
      </c>
      <c r="K107" s="31">
        <v>1073759.21</v>
      </c>
      <c r="M107" s="31">
        <v>8496510.6300000008</v>
      </c>
      <c r="N107" s="31">
        <v>404112.28</v>
      </c>
      <c r="O107" s="31">
        <v>0</v>
      </c>
      <c r="P107" s="31">
        <v>9974382.2699999996</v>
      </c>
    </row>
    <row r="108" spans="1:16" hidden="1" x14ac:dyDescent="0.35">
      <c r="A108" s="43" t="str">
        <f xml:space="preserve"> _xll.EPMOlapMemberO("[PRODUCT].[PARENTH1].[XQU]","","Quadriderm","","000")</f>
        <v>Quadriderm</v>
      </c>
      <c r="C108" s="31">
        <v>2706468.34</v>
      </c>
      <c r="E108" s="31">
        <v>2217626.62</v>
      </c>
      <c r="F108" s="31">
        <v>4227531.6500000004</v>
      </c>
      <c r="G108" s="31">
        <f t="shared" si="6"/>
        <v>0</v>
      </c>
      <c r="H108" s="31">
        <v>9151626.6099999994</v>
      </c>
      <c r="K108" s="31">
        <v>2243092.8199999998</v>
      </c>
      <c r="M108" s="31">
        <v>2163909.9300000002</v>
      </c>
      <c r="N108" s="31">
        <v>4269170.84</v>
      </c>
      <c r="O108" s="31">
        <v>0</v>
      </c>
      <c r="P108" s="31">
        <v>8676173.6500000004</v>
      </c>
    </row>
    <row r="109" spans="1:16" hidden="1" x14ac:dyDescent="0.35">
      <c r="A109" s="43" t="str">
        <f xml:space="preserve"> _xll.EPMOlapMemberO("[PRODUCT].[PARENTH1].[XGA]","","Gentalyn","","000")</f>
        <v>Gentalyn</v>
      </c>
      <c r="E109" s="31">
        <v>1854505.11</v>
      </c>
      <c r="F109" s="31">
        <v>-0.21</v>
      </c>
      <c r="G109" s="31">
        <f t="shared" si="6"/>
        <v>0</v>
      </c>
      <c r="H109" s="31">
        <v>1854504.9</v>
      </c>
      <c r="M109" s="31">
        <v>2054499.09</v>
      </c>
      <c r="N109" s="31">
        <v>219758.66</v>
      </c>
      <c r="O109" s="31">
        <v>0</v>
      </c>
      <c r="P109" s="31">
        <v>2274257.88</v>
      </c>
    </row>
    <row r="110" spans="1:16" hidden="1" x14ac:dyDescent="0.35">
      <c r="A110" s="43" t="str">
        <f xml:space="preserve"> _xll.EPMOlapMemberO("[PRODUCT].[PARENTH1].[EML]","","Emolene","","000")</f>
        <v>Emolene</v>
      </c>
      <c r="C110" s="31">
        <v>160328.01999999999</v>
      </c>
      <c r="G110" s="31">
        <f t="shared" si="6"/>
        <v>0</v>
      </c>
      <c r="H110" s="31">
        <v>160328.01999999999</v>
      </c>
      <c r="O110" s="31">
        <v>0</v>
      </c>
    </row>
    <row r="111" spans="1:16" hidden="1" x14ac:dyDescent="0.35">
      <c r="A111" s="44" t="str">
        <f xml:space="preserve"> _xll.EPMOlapMemberO("[PRODUCT].[PARENTH1].[DERMATOLOGY]","","Established Dermatology","","000")</f>
        <v>Established Dermatology</v>
      </c>
      <c r="B111" s="31">
        <v>268397.17</v>
      </c>
      <c r="C111" s="31">
        <v>13232804.48</v>
      </c>
      <c r="E111" s="31">
        <v>35198350.640000001</v>
      </c>
      <c r="F111" s="31">
        <v>10406328.32</v>
      </c>
      <c r="G111" s="31">
        <f t="shared" si="6"/>
        <v>0</v>
      </c>
      <c r="H111" s="31">
        <v>59105880.609999999</v>
      </c>
      <c r="J111" s="31">
        <v>10912.48</v>
      </c>
      <c r="K111" s="31">
        <v>12306252.539999999</v>
      </c>
      <c r="M111" s="31">
        <v>39426368.780000001</v>
      </c>
      <c r="N111" s="31">
        <v>10684042.220000001</v>
      </c>
      <c r="O111" s="31">
        <v>0</v>
      </c>
      <c r="P111" s="31">
        <v>62427577.859999999</v>
      </c>
    </row>
    <row r="112" spans="1:16" hidden="1" x14ac:dyDescent="0.35">
      <c r="A112" s="49" t="str">
        <f xml:space="preserve"> _xll.EPMOlapMemberO("[PRODUCT].[PARENTH1].[LEGACY_PAIN_BONE_DERM]","","Established Pain, Bone and Derm","","000")</f>
        <v>Established Pain, Bone and Derm</v>
      </c>
      <c r="B112" s="31">
        <v>4869200.3</v>
      </c>
      <c r="C112" s="31">
        <v>34936249.840000004</v>
      </c>
      <c r="D112" s="31">
        <v>34728089.909999996</v>
      </c>
      <c r="E112" s="31">
        <v>71476950.189999998</v>
      </c>
      <c r="F112" s="31">
        <v>62421834.539999999</v>
      </c>
      <c r="G112" s="31">
        <f t="shared" si="6"/>
        <v>0</v>
      </c>
      <c r="H112" s="31">
        <v>208432324.78</v>
      </c>
      <c r="J112" s="31">
        <v>5608175.8099999996</v>
      </c>
      <c r="K112" s="31">
        <v>36661961.969999999</v>
      </c>
      <c r="L112" s="31">
        <v>25538662.780000001</v>
      </c>
      <c r="M112" s="31">
        <v>74439672.879999995</v>
      </c>
      <c r="N112" s="31">
        <v>57219931.840000004</v>
      </c>
      <c r="O112" s="31">
        <v>0</v>
      </c>
      <c r="P112" s="31">
        <v>199468409.05000001</v>
      </c>
    </row>
    <row r="113" spans="1:16" hidden="1" x14ac:dyDescent="0.35">
      <c r="A113" s="47" t="str">
        <f xml:space="preserve"> _xll.EPMOlapMemberO("[PRODUCT].[PARENTH1].[ZETIA]","","Zetia Products","","000")</f>
        <v>Zetia Products</v>
      </c>
      <c r="B113" s="31">
        <v>4077229.3</v>
      </c>
      <c r="C113" s="31">
        <v>15956029.939999999</v>
      </c>
      <c r="D113" s="31">
        <v>48318265.439999998</v>
      </c>
      <c r="E113" s="31">
        <v>22122092.829999998</v>
      </c>
      <c r="F113" s="31">
        <v>5198252.13</v>
      </c>
      <c r="G113" s="31">
        <f t="shared" si="6"/>
        <v>0</v>
      </c>
      <c r="H113" s="31">
        <v>95671869.640000001</v>
      </c>
      <c r="J113" s="31">
        <v>3381176.97</v>
      </c>
      <c r="K113" s="31">
        <v>33174150.670000002</v>
      </c>
      <c r="L113" s="31">
        <v>32043226.07</v>
      </c>
      <c r="M113" s="31">
        <v>25937363.440000001</v>
      </c>
      <c r="N113" s="31">
        <v>2988969.87</v>
      </c>
      <c r="O113" s="31">
        <v>0</v>
      </c>
      <c r="P113" s="31">
        <v>97524887.769999996</v>
      </c>
    </row>
    <row r="114" spans="1:16" hidden="1" x14ac:dyDescent="0.35">
      <c r="A114" s="47" t="str">
        <f xml:space="preserve"> _xll.EPMOlapMemberO("[PRODUCT].[PARENTH1].[VYTORIN]","","Vytorin Products","","000")</f>
        <v>Vytorin Products</v>
      </c>
      <c r="B114" s="31">
        <v>2924402.06</v>
      </c>
      <c r="C114" s="31">
        <v>7695958.8099999996</v>
      </c>
      <c r="D114" s="31">
        <v>490618.96</v>
      </c>
      <c r="E114" s="31">
        <v>17269735.23</v>
      </c>
      <c r="F114" s="31">
        <v>8782481.0299999993</v>
      </c>
      <c r="G114" s="31">
        <f t="shared" si="6"/>
        <v>97790.319999992847</v>
      </c>
      <c r="H114" s="31">
        <v>37260986.409999996</v>
      </c>
      <c r="J114" s="31">
        <v>3376290.95</v>
      </c>
      <c r="K114" s="31">
        <v>9896986.3900000006</v>
      </c>
      <c r="L114" s="31">
        <v>487332.47</v>
      </c>
      <c r="M114" s="31">
        <v>19344347.199999999</v>
      </c>
      <c r="N114" s="31">
        <v>10342609.439999999</v>
      </c>
      <c r="O114" s="31">
        <v>0</v>
      </c>
      <c r="P114" s="31">
        <v>43447566.700000003</v>
      </c>
    </row>
    <row r="115" spans="1:16" hidden="1" x14ac:dyDescent="0.35">
      <c r="A115" s="43" t="str">
        <f xml:space="preserve"> _xll.EPMOlapMemberO("[PRODUCT].[PARENTH1].[ZETIA_VYTORIN]","","Zetia Vytorin","","000")</f>
        <v>Zetia Vytorin</v>
      </c>
      <c r="B115" s="31">
        <v>7001631.3600000003</v>
      </c>
      <c r="C115" s="31">
        <v>23651988.75</v>
      </c>
      <c r="D115" s="31">
        <v>48808884.399999999</v>
      </c>
      <c r="E115" s="31">
        <v>39391828.060000002</v>
      </c>
      <c r="F115" s="31">
        <v>13980733.16</v>
      </c>
      <c r="G115" s="31">
        <f t="shared" si="6"/>
        <v>97790.320000007749</v>
      </c>
      <c r="H115" s="31">
        <v>132932856.05</v>
      </c>
      <c r="J115" s="31">
        <v>6757467.9199999999</v>
      </c>
      <c r="K115" s="31">
        <v>43071137.060000002</v>
      </c>
      <c r="L115" s="31">
        <v>32530558.539999999</v>
      </c>
      <c r="M115" s="31">
        <v>45281710.640000001</v>
      </c>
      <c r="N115" s="31">
        <v>13331579.310000001</v>
      </c>
      <c r="O115" s="31">
        <v>0</v>
      </c>
      <c r="P115" s="31">
        <v>140972454.47</v>
      </c>
    </row>
    <row r="116" spans="1:16" hidden="1" x14ac:dyDescent="0.35">
      <c r="A116" s="43" t="str">
        <f xml:space="preserve"> _xll.EPMOlapMemberO("[PRODUCT].[PARENTH1].[LIPTRUZET]","","Atozet Products","","000")</f>
        <v>Atozet Products</v>
      </c>
      <c r="B116" s="31">
        <v>0</v>
      </c>
      <c r="C116" s="31">
        <v>33650287.399999999</v>
      </c>
      <c r="E116" s="31">
        <v>70827557.549999997</v>
      </c>
      <c r="F116" s="31">
        <v>5856302.4699999997</v>
      </c>
      <c r="G116" s="31">
        <f t="shared" si="6"/>
        <v>0</v>
      </c>
      <c r="H116" s="31">
        <v>110334147.42</v>
      </c>
      <c r="K116" s="31">
        <v>31681223.16</v>
      </c>
      <c r="M116" s="31">
        <v>67435189.319999993</v>
      </c>
      <c r="N116" s="31">
        <v>6056142.3799999999</v>
      </c>
      <c r="O116" s="31">
        <v>0</v>
      </c>
      <c r="P116" s="31">
        <v>105172555.45</v>
      </c>
    </row>
    <row r="117" spans="1:16" hidden="1" x14ac:dyDescent="0.35">
      <c r="A117" s="43" t="str">
        <f xml:space="preserve"> _xll.EPMOlapMemberO("[PRODUCT].[PARENTH1].[ROSPROD]","","Rosuzet Products","","000")</f>
        <v>Rosuzet Products</v>
      </c>
      <c r="C117" s="31">
        <v>19172893.530000001</v>
      </c>
      <c r="F117" s="31">
        <v>288876.57</v>
      </c>
      <c r="G117" s="31">
        <f t="shared" si="6"/>
        <v>0</v>
      </c>
      <c r="H117" s="31">
        <v>19461770.100000001</v>
      </c>
      <c r="K117" s="31">
        <v>35592025.210000001</v>
      </c>
      <c r="O117" s="31">
        <v>0</v>
      </c>
      <c r="P117" s="31">
        <v>35592025.210000001</v>
      </c>
    </row>
    <row r="118" spans="1:16" hidden="1" x14ac:dyDescent="0.35">
      <c r="A118" s="43" t="str">
        <f xml:space="preserve"> _xll.EPMOlapMemberO("[PRODUCT].[PARENTH1].[GRD]","","Zetia AG","","000")</f>
        <v>Zetia AG</v>
      </c>
      <c r="C118" s="31">
        <v>781804.72</v>
      </c>
      <c r="G118" s="31">
        <f t="shared" si="6"/>
        <v>0</v>
      </c>
      <c r="H118" s="31">
        <v>781804.72</v>
      </c>
      <c r="K118" s="31">
        <v>1774577.59</v>
      </c>
      <c r="O118" s="31">
        <v>0</v>
      </c>
      <c r="P118" s="31">
        <v>1774577.56</v>
      </c>
    </row>
    <row r="119" spans="1:16" hidden="1" x14ac:dyDescent="0.35">
      <c r="A119" s="44" t="str">
        <f xml:space="preserve"> _xll.EPMOlapMemberO("[PRODUCT].[PARENTH1].[MSPCHOLPROD]","","Ezetimibe Family","","000")</f>
        <v>Ezetimibe Family</v>
      </c>
      <c r="B119" s="31">
        <v>7001631.3600000003</v>
      </c>
      <c r="C119" s="31">
        <v>77256974.400000006</v>
      </c>
      <c r="D119" s="31">
        <v>48808884.399999999</v>
      </c>
      <c r="E119" s="31">
        <v>110219385.61</v>
      </c>
      <c r="F119" s="31">
        <v>20125912.199999999</v>
      </c>
      <c r="G119" s="31">
        <f t="shared" si="6"/>
        <v>97790.32000002265</v>
      </c>
      <c r="H119" s="31">
        <v>263510578.28999999</v>
      </c>
      <c r="J119" s="31">
        <v>6757467.9199999999</v>
      </c>
      <c r="K119" s="31">
        <v>112118963.02</v>
      </c>
      <c r="L119" s="31">
        <v>32530558.539999999</v>
      </c>
      <c r="M119" s="31">
        <v>112716899.95999999</v>
      </c>
      <c r="N119" s="31">
        <v>19387721.690000001</v>
      </c>
      <c r="O119" s="31">
        <v>0</v>
      </c>
      <c r="P119" s="31">
        <v>283511612.69</v>
      </c>
    </row>
    <row r="120" spans="1:16" hidden="1" x14ac:dyDescent="0.35">
      <c r="A120" s="44" t="str">
        <f xml:space="preserve"> _xll.EPMOlapMemberO("[PRODUCT].[PARENTH1].[OCP]","","Lixiana","","000")</f>
        <v>Lixiana</v>
      </c>
      <c r="E120" s="31">
        <v>10086563.58</v>
      </c>
      <c r="G120" s="31">
        <f t="shared" si="6"/>
        <v>0</v>
      </c>
      <c r="H120" s="31">
        <v>10086563.58</v>
      </c>
      <c r="M120" s="31">
        <v>9621726.1600000001</v>
      </c>
      <c r="O120" s="31">
        <v>0</v>
      </c>
      <c r="P120" s="31">
        <v>9621726.1600000001</v>
      </c>
    </row>
    <row r="121" spans="1:16" hidden="1" x14ac:dyDescent="0.35">
      <c r="A121" s="44" t="str">
        <f xml:space="preserve"> _xll.EPMOlapMemberO("[PRODUCT].[PARENTH1].[COZAAR_HYZAAR]","","Cozaar Hyzaar Products","","000")</f>
        <v>Cozaar Hyzaar Products</v>
      </c>
      <c r="B121" s="31">
        <v>3139936.31</v>
      </c>
      <c r="C121" s="31">
        <v>29983694.690000001</v>
      </c>
      <c r="D121" s="31">
        <v>39789411.68</v>
      </c>
      <c r="E121" s="31">
        <v>12654908.960000001</v>
      </c>
      <c r="F121" s="31">
        <v>7254121.7400000002</v>
      </c>
      <c r="G121" s="31">
        <f t="shared" si="6"/>
        <v>0</v>
      </c>
      <c r="H121" s="31">
        <v>92822073.379999995</v>
      </c>
      <c r="J121" s="31">
        <v>3912566.76</v>
      </c>
      <c r="K121" s="31">
        <v>28027361.559999999</v>
      </c>
      <c r="L121" s="31">
        <v>39121124.710000001</v>
      </c>
      <c r="M121" s="31">
        <v>10865809.640000001</v>
      </c>
      <c r="N121" s="31">
        <v>12451146.359999999</v>
      </c>
      <c r="O121" s="31">
        <v>0</v>
      </c>
      <c r="P121" s="31">
        <v>94378010.400000006</v>
      </c>
    </row>
    <row r="122" spans="1:16" hidden="1" x14ac:dyDescent="0.35">
      <c r="A122" s="44" t="str">
        <f xml:space="preserve"> _xll.EPMOlapMemberO("[PRODUCT].[PARENTH1].[ZOCOR]","","Zocor Products","","000")</f>
        <v>Zocor Products</v>
      </c>
      <c r="B122" s="31">
        <v>772973.47</v>
      </c>
      <c r="C122" s="31">
        <v>3723038.64</v>
      </c>
      <c r="D122" s="31">
        <v>4126738.13</v>
      </c>
      <c r="E122" s="31">
        <v>4487978.2300000004</v>
      </c>
      <c r="F122" s="31">
        <v>2511014.9500000002</v>
      </c>
      <c r="G122" s="31">
        <f t="shared" si="6"/>
        <v>0</v>
      </c>
      <c r="H122" s="31">
        <v>15621743.42</v>
      </c>
      <c r="J122" s="31">
        <v>1117656.32</v>
      </c>
      <c r="K122" s="31">
        <v>3841301.51</v>
      </c>
      <c r="L122" s="31">
        <v>6190829.9699999997</v>
      </c>
      <c r="M122" s="31">
        <v>5443612.0800000001</v>
      </c>
      <c r="N122" s="31">
        <v>2954887.19</v>
      </c>
      <c r="O122" s="31">
        <v>0</v>
      </c>
      <c r="P122" s="31">
        <v>19548287.530000001</v>
      </c>
    </row>
    <row r="123" spans="1:16" hidden="1" x14ac:dyDescent="0.35">
      <c r="A123" s="44" t="str">
        <f xml:space="preserve"> _xll.EPMOlapMemberO("[PRODUCT].[PARENTH1].[VASOTEC_VASERETIC]","","Vasotec Vaseretic Products","","000")</f>
        <v>Vasotec Vaseretic Products</v>
      </c>
      <c r="C123" s="31">
        <v>1833657.93</v>
      </c>
      <c r="D123" s="31">
        <v>2313.37</v>
      </c>
      <c r="E123" s="31">
        <v>4393886.3099999996</v>
      </c>
      <c r="F123" s="31">
        <v>1898262.64</v>
      </c>
      <c r="G123" s="31">
        <f t="shared" si="6"/>
        <v>0</v>
      </c>
      <c r="H123" s="31">
        <v>8128120.25</v>
      </c>
      <c r="K123" s="31">
        <v>1900604.87</v>
      </c>
      <c r="L123" s="31">
        <v>3628.71</v>
      </c>
      <c r="M123" s="31">
        <v>5347761.46</v>
      </c>
      <c r="N123" s="31">
        <v>2294879.37</v>
      </c>
      <c r="O123" s="31">
        <v>0</v>
      </c>
      <c r="P123" s="31">
        <v>9546874.9900000002</v>
      </c>
    </row>
    <row r="124" spans="1:16" hidden="1" x14ac:dyDescent="0.35">
      <c r="A124" s="44" t="str">
        <f xml:space="preserve"> _xll.EPMOlapMemberO("[PRODUCT].[PARENTH1].[XHE]","","Olmetec Sevikar","","000")</f>
        <v>Olmetec Sevikar</v>
      </c>
      <c r="C124" s="31">
        <v>2343276.91</v>
      </c>
      <c r="E124" s="31">
        <v>725846.81</v>
      </c>
      <c r="F124" s="31">
        <v>6138989.6399999997</v>
      </c>
      <c r="G124" s="31">
        <f t="shared" si="6"/>
        <v>0</v>
      </c>
      <c r="H124" s="31">
        <v>9208113.3599999994</v>
      </c>
      <c r="K124" s="31">
        <v>2185899.27</v>
      </c>
      <c r="M124" s="31">
        <v>859043.99</v>
      </c>
      <c r="N124" s="31">
        <v>4152348.67</v>
      </c>
      <c r="O124" s="31">
        <v>0</v>
      </c>
      <c r="P124" s="31">
        <v>7197292.0099999998</v>
      </c>
    </row>
    <row r="125" spans="1:16" hidden="1" x14ac:dyDescent="0.35">
      <c r="A125" s="44" t="str">
        <f xml:space="preserve"> _xll.EPMOlapMemberO("[PRODUCT].[PARENTH1].[BPR]","","Bepricor","","000")</f>
        <v>Bepricor</v>
      </c>
      <c r="C125" s="31">
        <v>-1677661.6</v>
      </c>
      <c r="G125" s="31">
        <f t="shared" si="6"/>
        <v>0</v>
      </c>
      <c r="H125" s="31">
        <v>-1677661.6</v>
      </c>
      <c r="K125" s="31">
        <v>10403579.619999999</v>
      </c>
      <c r="O125" s="31">
        <v>0</v>
      </c>
      <c r="P125" s="31">
        <v>10403579.619999999</v>
      </c>
    </row>
    <row r="126" spans="1:16" hidden="1" x14ac:dyDescent="0.35">
      <c r="A126" s="44" t="str">
        <f xml:space="preserve"> _xll.EPMOlapMemberO("[PRODUCT].[PARENTH1].[HYC]","","Hydrochlorothiazide","","000")</f>
        <v>Hydrochlorothiazide</v>
      </c>
      <c r="G126" s="31">
        <f t="shared" si="6"/>
        <v>0</v>
      </c>
      <c r="O126" s="31">
        <v>0</v>
      </c>
    </row>
    <row r="127" spans="1:16" hidden="1" x14ac:dyDescent="0.35">
      <c r="A127" s="49" t="str">
        <f xml:space="preserve"> _xll.EPMOlapMemberO("[PRODUCT].[PARENTH1].[HYPERTENSION]","","Established Cardiovascular","","000")</f>
        <v>Established Cardiovascular</v>
      </c>
      <c r="B127" s="31">
        <v>10914541.140000001</v>
      </c>
      <c r="C127" s="31">
        <v>113462980.97</v>
      </c>
      <c r="D127" s="31">
        <v>92727347.579999998</v>
      </c>
      <c r="E127" s="31">
        <v>142568569.5</v>
      </c>
      <c r="F127" s="31">
        <v>37928301.170000002</v>
      </c>
      <c r="G127" s="31">
        <f t="shared" si="6"/>
        <v>97790.319999992847</v>
      </c>
      <c r="H127" s="31">
        <v>397699530.68000001</v>
      </c>
      <c r="J127" s="31">
        <v>11787691</v>
      </c>
      <c r="K127" s="31">
        <v>158477709.84999999</v>
      </c>
      <c r="L127" s="31">
        <v>77846141.930000007</v>
      </c>
      <c r="M127" s="31">
        <v>144854853.28999999</v>
      </c>
      <c r="N127" s="31">
        <v>41240983.280000001</v>
      </c>
      <c r="O127" s="31">
        <v>0</v>
      </c>
      <c r="P127" s="31">
        <v>434207383.39999998</v>
      </c>
    </row>
    <row r="128" spans="1:16" hidden="1" x14ac:dyDescent="0.35">
      <c r="A128" s="43" t="str">
        <f xml:space="preserve"> _xll.EPMOlapMemberO("[PRODUCT].[PARENTH1].[XLI]","","Livial","","000")</f>
        <v>Livial</v>
      </c>
      <c r="C128" s="31">
        <v>3354161.89</v>
      </c>
      <c r="D128" s="31">
        <v>1836842.76</v>
      </c>
      <c r="E128" s="31">
        <v>4488598.74</v>
      </c>
      <c r="F128" s="31">
        <v>3173193.02</v>
      </c>
      <c r="G128" s="31">
        <f t="shared" si="6"/>
        <v>0</v>
      </c>
      <c r="H128" s="31">
        <v>12852796.41</v>
      </c>
      <c r="K128" s="31">
        <v>4069376.47</v>
      </c>
      <c r="L128" s="31">
        <v>1269560.3700000001</v>
      </c>
      <c r="M128" s="31">
        <v>4551725.67</v>
      </c>
      <c r="N128" s="31">
        <v>2426786.17</v>
      </c>
      <c r="O128" s="31">
        <v>0</v>
      </c>
      <c r="P128" s="31">
        <v>12317448.77</v>
      </c>
    </row>
    <row r="129" spans="1:16" hidden="1" x14ac:dyDescent="0.35">
      <c r="A129" s="43" t="str">
        <f xml:space="preserve"> _xll.EPMOlapMemberO("[PRODUCT].[PARENTH1].[XEL]","","Estradiol","","000")</f>
        <v>Estradiol</v>
      </c>
      <c r="E129" s="31">
        <v>3478431.83</v>
      </c>
      <c r="F129" s="31">
        <v>300159.03999999998</v>
      </c>
      <c r="G129" s="31">
        <f t="shared" si="6"/>
        <v>0</v>
      </c>
      <c r="H129" s="31">
        <v>3778590.87</v>
      </c>
      <c r="K129" s="31">
        <v>-53.38</v>
      </c>
      <c r="M129" s="31">
        <v>3337325.68</v>
      </c>
      <c r="N129" s="31">
        <v>665113.1</v>
      </c>
      <c r="O129" s="31">
        <v>0</v>
      </c>
      <c r="P129" s="31">
        <v>4002385.45</v>
      </c>
    </row>
    <row r="130" spans="1:16" hidden="1" x14ac:dyDescent="0.35">
      <c r="A130" s="43" t="str">
        <f xml:space="preserve"> _xll.EPMOlapMemberO("[PRODUCT].[PARENTH1].[XPM]","","Prometrium","","000")</f>
        <v>Prometrium</v>
      </c>
      <c r="E130" s="31">
        <v>5549691.6799999997</v>
      </c>
      <c r="G130" s="31">
        <f t="shared" si="6"/>
        <v>0</v>
      </c>
      <c r="H130" s="31">
        <v>5549691.6799999997</v>
      </c>
      <c r="M130" s="31">
        <v>4977300.68</v>
      </c>
      <c r="O130" s="31">
        <v>0</v>
      </c>
      <c r="P130" s="31">
        <v>4977300.74</v>
      </c>
    </row>
    <row r="131" spans="1:16" hidden="1" x14ac:dyDescent="0.35">
      <c r="A131" s="43" t="str">
        <f xml:space="preserve"> _xll.EPMOlapMemberO("[PRODUCT].[PARENTH1].[XWE]","","Duavive","","000")</f>
        <v>Duavive</v>
      </c>
      <c r="E131" s="31">
        <v>-2525.81</v>
      </c>
      <c r="G131" s="31">
        <f t="shared" si="6"/>
        <v>0</v>
      </c>
      <c r="H131" s="31">
        <v>-2525.81</v>
      </c>
      <c r="M131" s="31">
        <v>46451.67</v>
      </c>
      <c r="O131" s="31">
        <v>0</v>
      </c>
      <c r="P131" s="31">
        <v>46451.72</v>
      </c>
    </row>
    <row r="132" spans="1:16" hidden="1" x14ac:dyDescent="0.35">
      <c r="A132" s="44" t="str">
        <f xml:space="preserve"> _xll.EPMOlapMemberO("[PRODUCT].[PARENTH1].[HORMONES]","","Hormones","","000")</f>
        <v>Hormones</v>
      </c>
      <c r="C132" s="31">
        <v>3354161.89</v>
      </c>
      <c r="D132" s="31">
        <v>1836842.76</v>
      </c>
      <c r="E132" s="31">
        <v>13514196.439999999</v>
      </c>
      <c r="F132" s="31">
        <v>3473352.06</v>
      </c>
      <c r="G132" s="31">
        <f t="shared" si="6"/>
        <v>0</v>
      </c>
      <c r="H132" s="31">
        <v>22178553.149999999</v>
      </c>
      <c r="K132" s="31">
        <v>4069323.09</v>
      </c>
      <c r="L132" s="31">
        <v>1269560.3700000001</v>
      </c>
      <c r="M132" s="31">
        <v>12912803.699999999</v>
      </c>
      <c r="N132" s="31">
        <v>3091899.27</v>
      </c>
      <c r="O132" s="31">
        <v>0</v>
      </c>
      <c r="P132" s="31">
        <v>21343586.68</v>
      </c>
    </row>
    <row r="133" spans="1:16" hidden="1" x14ac:dyDescent="0.35">
      <c r="A133" s="47" t="str">
        <f xml:space="preserve"> _xll.EPMOlapMemberO("[PRODUCT].[PARENTH1].[MXT]","","Maxalt","","000")</f>
        <v>Maxalt</v>
      </c>
      <c r="B133" s="31">
        <v>2197093.86</v>
      </c>
      <c r="C133" s="31">
        <v>778937.69</v>
      </c>
      <c r="E133" s="31">
        <v>11954687.09</v>
      </c>
      <c r="F133" s="31">
        <v>1113435.23</v>
      </c>
      <c r="G133" s="31">
        <f t="shared" si="6"/>
        <v>0</v>
      </c>
      <c r="H133" s="31">
        <v>16044153.869999999</v>
      </c>
      <c r="J133" s="31">
        <v>2754940.65</v>
      </c>
      <c r="K133" s="31">
        <v>2166051.02</v>
      </c>
      <c r="M133" s="31">
        <v>11350357.890000001</v>
      </c>
      <c r="N133" s="31">
        <v>656039.18000000005</v>
      </c>
      <c r="O133" s="31">
        <v>0</v>
      </c>
      <c r="P133" s="31">
        <v>16927388.899999999</v>
      </c>
    </row>
    <row r="134" spans="1:16" hidden="1" x14ac:dyDescent="0.35">
      <c r="A134" s="47" t="str">
        <f xml:space="preserve"> _xll.EPMOlapMemberO("[PRODUCT].[PARENTH1].[RIZ]","","Rizatriptan Bulk","","000")</f>
        <v>Rizatriptan Bulk</v>
      </c>
      <c r="B134" s="31">
        <v>0</v>
      </c>
      <c r="C134" s="31">
        <v>366997.92</v>
      </c>
      <c r="E134" s="31">
        <v>0</v>
      </c>
      <c r="G134" s="31">
        <f t="shared" si="6"/>
        <v>0</v>
      </c>
      <c r="H134" s="31">
        <v>366997.92</v>
      </c>
      <c r="K134" s="31">
        <v>223899.04</v>
      </c>
      <c r="M134" s="31">
        <v>562990.52</v>
      </c>
      <c r="O134" s="31">
        <v>0</v>
      </c>
      <c r="P134" s="31">
        <v>786889.55</v>
      </c>
    </row>
    <row r="135" spans="1:16" hidden="1" x14ac:dyDescent="0.35">
      <c r="A135" s="43" t="str">
        <f xml:space="preserve"> _xll.EPMOlapMemberO("[PRODUCT].[PARENTH1].[MAXALTPROD]","","Maxalt Products","","000")</f>
        <v>Maxalt Products</v>
      </c>
      <c r="B135" s="31">
        <v>2197093.86</v>
      </c>
      <c r="C135" s="31">
        <v>1145935.6100000001</v>
      </c>
      <c r="E135" s="31">
        <v>11954687.09</v>
      </c>
      <c r="F135" s="31">
        <v>1113435.23</v>
      </c>
      <c r="G135" s="31">
        <f t="shared" si="6"/>
        <v>0</v>
      </c>
      <c r="H135" s="31">
        <v>16411151.789999999</v>
      </c>
      <c r="J135" s="31">
        <v>2754940.65</v>
      </c>
      <c r="K135" s="31">
        <v>2389950.06</v>
      </c>
      <c r="M135" s="31">
        <v>11913348.41</v>
      </c>
      <c r="N135" s="31">
        <v>656039.18000000005</v>
      </c>
      <c r="O135" s="31">
        <v>0</v>
      </c>
      <c r="P135" s="31">
        <v>17714278.449999999</v>
      </c>
    </row>
    <row r="136" spans="1:16" hidden="1" x14ac:dyDescent="0.35">
      <c r="A136" s="43" t="str">
        <f xml:space="preserve"> _xll.EPMOlapMemberO("[PRODUCT].[PARENTH1].[XRE]","","Remeron","","000")</f>
        <v>Remeron</v>
      </c>
      <c r="B136" s="31">
        <v>613103.30000000005</v>
      </c>
      <c r="C136" s="31">
        <v>3679733.71</v>
      </c>
      <c r="D136" s="31">
        <v>4621914.6100000003</v>
      </c>
      <c r="E136" s="31">
        <v>4440013.9800000004</v>
      </c>
      <c r="F136" s="31">
        <v>1200577.53</v>
      </c>
      <c r="G136" s="31">
        <f t="shared" si="6"/>
        <v>0</v>
      </c>
      <c r="H136" s="31">
        <v>14555343.130000001</v>
      </c>
      <c r="J136" s="31">
        <v>537842.14</v>
      </c>
      <c r="K136" s="31">
        <v>4710095.0199999996</v>
      </c>
      <c r="L136" s="31">
        <v>4074314.18</v>
      </c>
      <c r="M136" s="31">
        <v>5632937.4299999997</v>
      </c>
      <c r="N136" s="31">
        <v>1246961.96</v>
      </c>
      <c r="O136" s="31">
        <v>0</v>
      </c>
      <c r="P136" s="31">
        <v>16202151.17</v>
      </c>
    </row>
    <row r="137" spans="1:16" hidden="1" x14ac:dyDescent="0.35">
      <c r="A137" s="43" t="str">
        <f xml:space="preserve"> _xll.EPMOlapMemberO("[PRODUCT].[PARENTH1].[SINEMETPROD]","","Sinemet Products","","000")</f>
        <v>Sinemet Products</v>
      </c>
      <c r="B137" s="31">
        <v>111152.08</v>
      </c>
      <c r="C137" s="31">
        <v>3578522.73</v>
      </c>
      <c r="D137" s="31">
        <v>1168.3599999999999</v>
      </c>
      <c r="E137" s="31">
        <v>13261274.85</v>
      </c>
      <c r="F137" s="31">
        <v>514704.3</v>
      </c>
      <c r="G137" s="31">
        <f t="shared" si="6"/>
        <v>0</v>
      </c>
      <c r="H137" s="31">
        <v>17466822.32</v>
      </c>
      <c r="J137" s="31">
        <v>-12947.44</v>
      </c>
      <c r="K137" s="31">
        <v>2947114.52</v>
      </c>
      <c r="L137" s="31">
        <v>1088373.4099999999</v>
      </c>
      <c r="M137" s="31">
        <v>14862770.83</v>
      </c>
      <c r="N137" s="31">
        <v>631769.42000000004</v>
      </c>
      <c r="O137" s="31">
        <v>0</v>
      </c>
      <c r="P137" s="31">
        <v>19517080.920000002</v>
      </c>
    </row>
    <row r="138" spans="1:16" hidden="1" x14ac:dyDescent="0.35">
      <c r="A138" s="43" t="str">
        <f xml:space="preserve"> _xll.EPMOlapMemberO("[PRODUCT].[PARENTH1].[XSA]","","Saphris","","000")</f>
        <v>Saphris</v>
      </c>
      <c r="B138" s="31">
        <v>2797499.27</v>
      </c>
      <c r="C138" s="31">
        <v>3338952.99</v>
      </c>
      <c r="E138" s="31">
        <v>3362902.14</v>
      </c>
      <c r="G138" s="31">
        <f t="shared" si="6"/>
        <v>15341.990000000224</v>
      </c>
      <c r="H138" s="31">
        <v>9514696.3900000006</v>
      </c>
      <c r="J138" s="31">
        <v>6700149.4900000002</v>
      </c>
      <c r="K138" s="31">
        <v>4991755.3600000003</v>
      </c>
      <c r="M138" s="31">
        <v>2490199.84</v>
      </c>
      <c r="O138" s="31">
        <v>3.7037250799999999</v>
      </c>
      <c r="P138" s="31">
        <v>14163407.43</v>
      </c>
    </row>
    <row r="139" spans="1:16" hidden="1" x14ac:dyDescent="0.35">
      <c r="A139" s="43" t="str">
        <f xml:space="preserve"> _xll.EPMOlapMemberO("[PRODUCT].[PARENTH1].[XMR]","","Tolvon","","000")</f>
        <v>Tolvon</v>
      </c>
      <c r="C139" s="31">
        <v>2158333.37</v>
      </c>
      <c r="E139" s="31">
        <v>632081.42000000004</v>
      </c>
      <c r="F139" s="31">
        <v>196779.74</v>
      </c>
      <c r="G139" s="31">
        <f t="shared" ref="G139:G159" si="7">H139-SUM(B139:F139)</f>
        <v>0</v>
      </c>
      <c r="H139" s="31">
        <v>2987194.53</v>
      </c>
      <c r="K139" s="31">
        <v>3291116.9</v>
      </c>
      <c r="M139" s="31">
        <v>878564.12</v>
      </c>
      <c r="N139" s="31">
        <v>447467.57</v>
      </c>
      <c r="O139" s="31">
        <v>0</v>
      </c>
      <c r="P139" s="31">
        <v>4617148.7300000004</v>
      </c>
    </row>
    <row r="140" spans="1:16" hidden="1" x14ac:dyDescent="0.35">
      <c r="A140" s="43" t="str">
        <f xml:space="preserve"> _xll.EPMOlapMemberO("[PRODUCT].[PARENTH1].[SAP]","","Saphris AG","","000")</f>
        <v>Saphris AG</v>
      </c>
      <c r="G140" s="31">
        <f t="shared" si="7"/>
        <v>0</v>
      </c>
      <c r="O140" s="31">
        <v>0</v>
      </c>
    </row>
    <row r="141" spans="1:16" hidden="1" x14ac:dyDescent="0.35">
      <c r="A141" s="43" t="str">
        <f xml:space="preserve"> _xll.EPMOlapMemberO("[PRODUCT].[PARENTH1].[XRN]","","Reslin","","000")</f>
        <v>Reslin</v>
      </c>
      <c r="C141" s="31">
        <v>909728.23</v>
      </c>
      <c r="G141" s="31">
        <f t="shared" si="7"/>
        <v>0</v>
      </c>
      <c r="H141" s="31">
        <v>909728.23</v>
      </c>
      <c r="K141" s="31">
        <v>-1117257.25</v>
      </c>
      <c r="O141" s="31">
        <v>0</v>
      </c>
      <c r="P141" s="31">
        <v>-1117257.21</v>
      </c>
    </row>
    <row r="142" spans="1:16" hidden="1" x14ac:dyDescent="0.35">
      <c r="A142" s="43" t="str">
        <f xml:space="preserve"> _xll.EPMOlapMemberO("[PRODUCT].[PARENTH1].[TLA]","","Taloxa","","000")</f>
        <v>Taloxa</v>
      </c>
      <c r="E142" s="31">
        <v>902389.46</v>
      </c>
      <c r="F142" s="31">
        <v>0</v>
      </c>
      <c r="G142" s="31">
        <f t="shared" si="7"/>
        <v>0</v>
      </c>
      <c r="H142" s="31">
        <v>902389.46</v>
      </c>
      <c r="M142" s="31">
        <v>979617.87</v>
      </c>
      <c r="N142" s="31">
        <v>3953.57</v>
      </c>
      <c r="O142" s="31">
        <v>0</v>
      </c>
      <c r="P142" s="31">
        <v>917600.41</v>
      </c>
    </row>
    <row r="143" spans="1:16" hidden="1" x14ac:dyDescent="0.35">
      <c r="A143" s="44" t="str">
        <f xml:space="preserve"> _xll.EPMOlapMemberO("[PRODUCT].[PARENTH1].[LEGACY_CNS]","","Established CNS","","000")</f>
        <v>Established CNS</v>
      </c>
      <c r="B143" s="31">
        <v>5718848.5099999998</v>
      </c>
      <c r="C143" s="31">
        <v>14811206.640000001</v>
      </c>
      <c r="D143" s="31">
        <v>4623082.97</v>
      </c>
      <c r="E143" s="31">
        <v>34553348.939999998</v>
      </c>
      <c r="F143" s="31">
        <v>3025496.8</v>
      </c>
      <c r="G143" s="31">
        <f t="shared" si="7"/>
        <v>15341.990000009537</v>
      </c>
      <c r="H143" s="31">
        <v>62747325.850000001</v>
      </c>
      <c r="J143" s="31">
        <v>9979984.8399999999</v>
      </c>
      <c r="K143" s="31">
        <v>17212774.609999999</v>
      </c>
      <c r="L143" s="31">
        <v>5162687.59</v>
      </c>
      <c r="M143" s="31">
        <v>36757438.5</v>
      </c>
      <c r="N143" s="31">
        <v>2986191.7</v>
      </c>
      <c r="O143" s="31">
        <v>3.7037250799999999</v>
      </c>
      <c r="P143" s="31">
        <v>72014409.900000006</v>
      </c>
    </row>
    <row r="144" spans="1:16" hidden="1" x14ac:dyDescent="0.35">
      <c r="A144" s="47" t="str">
        <f xml:space="preserve"> _xll.EPMOlapMemberO("[PRODUCT].[PARENTH1].[PROSCARPROD]","","Proscar Products","","000")</f>
        <v>Proscar Products</v>
      </c>
      <c r="B144" s="31">
        <v>279424.73</v>
      </c>
      <c r="C144" s="31">
        <v>2450799.2599999998</v>
      </c>
      <c r="D144" s="31">
        <v>18882881.699999999</v>
      </c>
      <c r="E144" s="31">
        <v>3157859.38</v>
      </c>
      <c r="F144" s="31">
        <v>777419.81</v>
      </c>
      <c r="G144" s="31">
        <f t="shared" si="7"/>
        <v>0</v>
      </c>
      <c r="H144" s="31">
        <v>25548384.879999999</v>
      </c>
      <c r="J144" s="31">
        <v>438386.37</v>
      </c>
      <c r="K144" s="31">
        <v>4560822.1500000004</v>
      </c>
      <c r="L144" s="31">
        <v>13363831.91</v>
      </c>
      <c r="M144" s="31">
        <v>3130048.14</v>
      </c>
      <c r="N144" s="31">
        <v>756873.63</v>
      </c>
      <c r="O144" s="31">
        <v>0</v>
      </c>
      <c r="P144" s="31">
        <v>22249962.670000002</v>
      </c>
    </row>
    <row r="145" spans="1:16" hidden="1" x14ac:dyDescent="0.35">
      <c r="A145" s="47" t="str">
        <f xml:space="preserve"> _xll.EPMOlapMemberO("[PRODUCT].[PARENTH1].[PROPECIAPROD]","","Propecia Products","","000")</f>
        <v>Propecia Products</v>
      </c>
      <c r="B145" s="31">
        <v>4371457.29</v>
      </c>
      <c r="C145" s="31">
        <v>15509320.91</v>
      </c>
      <c r="D145" s="31">
        <v>11021837.49</v>
      </c>
      <c r="E145" s="31">
        <v>3899201.83</v>
      </c>
      <c r="F145" s="31">
        <v>834003.68</v>
      </c>
      <c r="G145" s="31">
        <f t="shared" si="7"/>
        <v>0</v>
      </c>
      <c r="H145" s="31">
        <v>35635821.200000003</v>
      </c>
      <c r="J145" s="31">
        <v>2460477.14</v>
      </c>
      <c r="K145" s="31">
        <v>18021773.59</v>
      </c>
      <c r="L145" s="31">
        <v>14152991.699999999</v>
      </c>
      <c r="M145" s="31">
        <v>3259809.12</v>
      </c>
      <c r="N145" s="31">
        <v>841750.8</v>
      </c>
      <c r="O145" s="31">
        <v>0</v>
      </c>
      <c r="P145" s="31">
        <v>38736802.609999999</v>
      </c>
    </row>
    <row r="146" spans="1:16" hidden="1" x14ac:dyDescent="0.35">
      <c r="A146" s="43" t="str">
        <f xml:space="preserve"> _xll.EPMOlapMemberO("[PRODUCT].[PARENTH1].[UROLOGY]","","Men's Health","","000")</f>
        <v>Men's Health</v>
      </c>
      <c r="B146" s="31">
        <v>4650882.0199999996</v>
      </c>
      <c r="C146" s="31">
        <v>17960120.170000002</v>
      </c>
      <c r="D146" s="31">
        <v>29904719.190000001</v>
      </c>
      <c r="E146" s="31">
        <v>7057061.21</v>
      </c>
      <c r="F146" s="31">
        <v>1611423.49</v>
      </c>
      <c r="G146" s="31">
        <f t="shared" si="7"/>
        <v>0</v>
      </c>
      <c r="H146" s="31">
        <v>61184206.079999998</v>
      </c>
      <c r="J146" s="31">
        <v>2898863.51</v>
      </c>
      <c r="K146" s="31">
        <v>22582595.739999998</v>
      </c>
      <c r="L146" s="31">
        <v>27516823.609999999</v>
      </c>
      <c r="M146" s="31">
        <v>6389857.2599999998</v>
      </c>
      <c r="N146" s="31">
        <v>1598624.43</v>
      </c>
      <c r="O146" s="31">
        <v>0</v>
      </c>
      <c r="P146" s="31">
        <v>60986765.280000001</v>
      </c>
    </row>
    <row r="147" spans="1:16" hidden="1" x14ac:dyDescent="0.35">
      <c r="A147" s="43" t="str">
        <f xml:space="preserve"> _xll.EPMOlapMemberO("[PRODUCT].[PARENTH1].[TOTAL_OTH_PHARM_PROD]","","Total Other Pharm Products","","000")</f>
        <v>Total Other Pharm Products</v>
      </c>
      <c r="B147" s="31">
        <v>2024836.32</v>
      </c>
      <c r="C147" s="31">
        <v>5503693</v>
      </c>
      <c r="E147" s="31">
        <v>3078719.64</v>
      </c>
      <c r="F147" s="31">
        <v>2361523.4</v>
      </c>
      <c r="G147" s="31">
        <f t="shared" si="7"/>
        <v>-643406.26000000164</v>
      </c>
      <c r="H147" s="31">
        <v>12325366.1</v>
      </c>
      <c r="O147" s="31">
        <v>0</v>
      </c>
    </row>
    <row r="148" spans="1:16" hidden="1" x14ac:dyDescent="0.35">
      <c r="A148" s="43" t="str">
        <f xml:space="preserve"> _xll.EPMOlapMemberO("[PRODUCT].[PARENTH1].[CTZ]","","Cotazym","","000")</f>
        <v>Cotazym</v>
      </c>
      <c r="E148" s="31">
        <v>-473599.92</v>
      </c>
      <c r="G148" s="31">
        <f t="shared" si="7"/>
        <v>0</v>
      </c>
      <c r="H148" s="31">
        <v>-473599.92</v>
      </c>
      <c r="M148" s="31">
        <v>1820273.27</v>
      </c>
      <c r="O148" s="31">
        <v>0</v>
      </c>
      <c r="P148" s="31">
        <v>1820273.27</v>
      </c>
    </row>
    <row r="149" spans="1:16" hidden="1" x14ac:dyDescent="0.35">
      <c r="A149" s="43" t="str">
        <f xml:space="preserve"> _xll.EPMOlapMemberO("[PRODUCT].[PARENTH1].[PPT]","","Pregcolor Pregnancy Test","","000")</f>
        <v>Pregcolor Pregnancy Test</v>
      </c>
      <c r="F149" s="31">
        <v>138768.10999999999</v>
      </c>
      <c r="G149" s="31">
        <f t="shared" si="7"/>
        <v>0</v>
      </c>
      <c r="H149" s="31">
        <v>138768.10999999999</v>
      </c>
      <c r="O149" s="31">
        <v>0</v>
      </c>
    </row>
    <row r="150" spans="1:16" hidden="1" x14ac:dyDescent="0.35">
      <c r="A150" s="43" t="str">
        <f xml:space="preserve"> _xll.EPMOlapMemberO("[PRODUCT].[PARENTH1].[MIG]","","Branded Generics - Established","","000")</f>
        <v>Branded Generics - Established</v>
      </c>
      <c r="G150" s="31">
        <f t="shared" si="7"/>
        <v>0</v>
      </c>
      <c r="O150" s="31">
        <v>0</v>
      </c>
    </row>
    <row r="151" spans="1:16" hidden="1" x14ac:dyDescent="0.35">
      <c r="A151" s="43" t="str">
        <f xml:space="preserve"> _xll.EPMOlapMemberO("[PRODUCT].[PARENTH1].[AUX]","","Auxiliary Components","","000")</f>
        <v>Auxiliary Components</v>
      </c>
      <c r="G151" s="31">
        <f t="shared" si="7"/>
        <v>0</v>
      </c>
      <c r="O151" s="31">
        <v>0</v>
      </c>
    </row>
    <row r="152" spans="1:16" hidden="1" x14ac:dyDescent="0.35">
      <c r="A152" s="44" t="str">
        <f xml:space="preserve"> _xll.EPMOlapMemberO("[PRODUCT].[PARENTH1].[OTHER_LEGACY]","","Other Established","","000")</f>
        <v>Other Established</v>
      </c>
      <c r="B152" s="31">
        <v>6675718.3399999999</v>
      </c>
      <c r="C152" s="31">
        <v>23463813.170000002</v>
      </c>
      <c r="D152" s="31">
        <v>29904719.190000001</v>
      </c>
      <c r="E152" s="31">
        <v>9662180.9299999997</v>
      </c>
      <c r="F152" s="31">
        <v>4111715</v>
      </c>
      <c r="G152" s="31">
        <f t="shared" si="7"/>
        <v>-643406.25999999046</v>
      </c>
      <c r="H152" s="31">
        <v>73174740.370000005</v>
      </c>
      <c r="J152" s="31">
        <v>2898863.51</v>
      </c>
      <c r="K152" s="31">
        <v>22582595.739999998</v>
      </c>
      <c r="L152" s="31">
        <v>27516823.609999999</v>
      </c>
      <c r="M152" s="31">
        <v>8210130.5300000003</v>
      </c>
      <c r="N152" s="31">
        <v>1598624.43</v>
      </c>
      <c r="O152" s="31">
        <v>0</v>
      </c>
      <c r="P152" s="31">
        <v>62807038.549999997</v>
      </c>
    </row>
    <row r="153" spans="1:16" hidden="1" x14ac:dyDescent="0.35">
      <c r="A153" s="49" t="str">
        <f xml:space="preserve"> _xll.EPMOlapMemberO("[PRODUCT].[PARENTH1].[LEGACY_OTHER]","","Established Other","","000")</f>
        <v>Established Other</v>
      </c>
      <c r="B153" s="31">
        <v>12394566.85</v>
      </c>
      <c r="C153" s="31">
        <v>41629181.700000003</v>
      </c>
      <c r="D153" s="31">
        <v>36364644.920000002</v>
      </c>
      <c r="E153" s="31">
        <v>57729726.310000002</v>
      </c>
      <c r="F153" s="31">
        <v>10610563.859999999</v>
      </c>
      <c r="G153" s="31">
        <f t="shared" si="7"/>
        <v>-628064.26999998093</v>
      </c>
      <c r="H153" s="31">
        <v>158100619.37</v>
      </c>
      <c r="J153" s="31">
        <v>12878848.35</v>
      </c>
      <c r="K153" s="31">
        <v>43864693.439999998</v>
      </c>
      <c r="L153" s="31">
        <v>33949071.57</v>
      </c>
      <c r="M153" s="31">
        <v>57880372.729999997</v>
      </c>
      <c r="N153" s="31">
        <v>7676715.4000000004</v>
      </c>
      <c r="O153" s="31">
        <v>0</v>
      </c>
      <c r="P153" s="31">
        <v>156165035.13</v>
      </c>
    </row>
    <row r="154" spans="1:16" hidden="1" x14ac:dyDescent="0.35">
      <c r="A154" s="46" t="str">
        <f xml:space="preserve"> _xll.EPMOlapMemberO("[PRODUCT].[PARENTH1].[LEGACY_BRANDS]","","Established Brands","","000")</f>
        <v>Established Brands</v>
      </c>
      <c r="B154" s="31">
        <v>82548269.540000007</v>
      </c>
      <c r="C154" s="31">
        <v>261584297.66</v>
      </c>
      <c r="D154" s="31">
        <v>223189756.88</v>
      </c>
      <c r="E154" s="31">
        <v>321841248.35000002</v>
      </c>
      <c r="F154" s="31">
        <v>147886792.91</v>
      </c>
      <c r="G154" s="31">
        <f t="shared" si="7"/>
        <v>329142.05000007153</v>
      </c>
      <c r="H154" s="31">
        <v>1037379507.39</v>
      </c>
      <c r="J154" s="31">
        <v>91323187.700000003</v>
      </c>
      <c r="K154" s="31">
        <v>306188787.24000001</v>
      </c>
      <c r="L154" s="31">
        <v>200237784.21000001</v>
      </c>
      <c r="M154" s="31">
        <v>324580394.20999998</v>
      </c>
      <c r="N154" s="31">
        <v>139757726.34</v>
      </c>
      <c r="O154" s="31">
        <v>0</v>
      </c>
      <c r="P154" s="31">
        <v>1062294918.17</v>
      </c>
    </row>
    <row r="155" spans="1:16" hidden="1" x14ac:dyDescent="0.35">
      <c r="A155" s="51" t="str">
        <f xml:space="preserve"> _xll.EPMOlapMemberO("[PRODUCT].[PARENTH1].[ORGANON_TOTAL]","","Organon","","000")</f>
        <v>Organon</v>
      </c>
      <c r="B155" s="31">
        <v>350001535.89999998</v>
      </c>
      <c r="C155" s="31">
        <v>299148354.25</v>
      </c>
      <c r="D155" s="31">
        <v>239643416.68000001</v>
      </c>
      <c r="E155" s="31">
        <v>436188133.44</v>
      </c>
      <c r="F155" s="31">
        <v>245510916.91999999</v>
      </c>
      <c r="G155" s="31">
        <f t="shared" si="7"/>
        <v>329142.04999995232</v>
      </c>
      <c r="H155" s="31">
        <v>1570821499.24</v>
      </c>
      <c r="J155" s="31">
        <v>340511797.66000003</v>
      </c>
      <c r="K155" s="31">
        <v>344505228.60000002</v>
      </c>
      <c r="L155" s="31">
        <v>218326394.41999999</v>
      </c>
      <c r="M155" s="31">
        <v>444486364.88999999</v>
      </c>
      <c r="N155" s="31">
        <v>208022069.06</v>
      </c>
      <c r="O155" s="31">
        <v>0</v>
      </c>
      <c r="P155" s="31">
        <v>1555943601.4300001</v>
      </c>
    </row>
    <row r="156" spans="1:16" hidden="1" x14ac:dyDescent="0.35">
      <c r="A156" s="51" t="str">
        <f xml:space="preserve"> _xll.EPMOlapMemberO("[PRODUCT].[PARENTH1].[XXX]","","Not Product Specific","","000")</f>
        <v>Not Product Specific</v>
      </c>
      <c r="B156" s="31">
        <v>-2814124.14</v>
      </c>
      <c r="E156" s="31">
        <v>-8784555.9100000001</v>
      </c>
      <c r="F156" s="31">
        <v>-292238.45</v>
      </c>
      <c r="G156" s="31">
        <f t="shared" si="7"/>
        <v>44248569.049999997</v>
      </c>
      <c r="H156" s="31">
        <v>32357650.550000001</v>
      </c>
      <c r="J156" s="31">
        <v>-599858.09</v>
      </c>
      <c r="K156" s="31">
        <v>503984.55</v>
      </c>
      <c r="M156" s="31">
        <v>-4045765.05</v>
      </c>
      <c r="N156" s="31">
        <v>-156825.46</v>
      </c>
      <c r="O156" s="31">
        <v>0</v>
      </c>
      <c r="P156" s="31">
        <v>56779803.119999997</v>
      </c>
    </row>
    <row r="157" spans="1:16" hidden="1" x14ac:dyDescent="0.35">
      <c r="A157" s="51" t="str">
        <f xml:space="preserve"> _xll.EPMOlapMemberO("[PRODUCT].[PARENTH1].[TBA]","","To be Allocated","","000")</f>
        <v>To be Allocated</v>
      </c>
      <c r="G157" s="31">
        <f t="shared" si="7"/>
        <v>0</v>
      </c>
      <c r="O157" s="31">
        <v>0</v>
      </c>
    </row>
    <row r="158" spans="1:16" hidden="1" x14ac:dyDescent="0.35">
      <c r="A158" s="51" t="str">
        <f xml:space="preserve"> _xll.EPMOlapMemberO("[PRODUCT].[PARENTH1].[MRK_TOT]","","Merck Products","","000")</f>
        <v>Merck Products</v>
      </c>
      <c r="C158" s="31">
        <v>-56414.17</v>
      </c>
      <c r="E158" s="31">
        <v>-418.58</v>
      </c>
      <c r="F158" s="31">
        <v>383476.09</v>
      </c>
      <c r="G158" s="31">
        <f t="shared" si="7"/>
        <v>0</v>
      </c>
      <c r="H158" s="31">
        <v>326643.34000000003</v>
      </c>
      <c r="O158" s="31">
        <v>0</v>
      </c>
    </row>
    <row r="159" spans="1:16" hidden="1" x14ac:dyDescent="0.35">
      <c r="A159" s="42" t="str">
        <f xml:space="preserve"> _xll.EPMOlapMemberO("[PRODUCT].[PARENTH1].[PRODUCT]","","Total NewCo Products","","000")</f>
        <v>Total NewCo Products</v>
      </c>
      <c r="B159" s="31">
        <v>347187411.75999999</v>
      </c>
      <c r="C159" s="31">
        <v>299091940.07999998</v>
      </c>
      <c r="D159" s="31">
        <v>239643416.68000001</v>
      </c>
      <c r="E159" s="31">
        <v>427403158.94999999</v>
      </c>
      <c r="F159" s="31">
        <v>245602154.56</v>
      </c>
      <c r="G159" s="31">
        <f t="shared" si="7"/>
        <v>44577711.100000143</v>
      </c>
      <c r="H159" s="31">
        <v>1603505793.1300001</v>
      </c>
      <c r="J159" s="31">
        <v>339911939.56999999</v>
      </c>
      <c r="K159" s="31">
        <v>345009213.14999998</v>
      </c>
      <c r="L159" s="31">
        <v>218326394.41999999</v>
      </c>
      <c r="M159" s="31">
        <v>440440599.83999997</v>
      </c>
      <c r="N159" s="31">
        <v>207865243.59999999</v>
      </c>
      <c r="O159" s="31">
        <v>0</v>
      </c>
      <c r="P159" s="31">
        <v>1612723404.55</v>
      </c>
    </row>
  </sheetData>
  <pageMargins left="0.7" right="0.7" top="0.75" bottom="0.75" header="0.3" footer="0.3"/>
  <pageSetup orientation="portrait" r:id="rId1"/>
  <headerFooter>
    <oddHeader>&amp;L&amp;"Calibri"&amp;12&amp;K00B294[Organon] Proprietary&amp;1#</oddHead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5121" r:id="rId7" name="ConnectionDescriptorsInfo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1" r:id="rId7" name="ConnectionDescriptorsInfotb1"/>
      </mc:Fallback>
    </mc:AlternateContent>
    <mc:AlternateContent xmlns:mc="http://schemas.openxmlformats.org/markup-compatibility/2006">
      <mc:Choice Requires="x14">
        <control shapeId="5122" r:id="rId9" name="MultipleReportManagerInfo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2" r:id="rId9" name="MultipleReportManagerInfotb1"/>
      </mc:Fallback>
    </mc:AlternateContent>
    <mc:AlternateContent xmlns:mc="http://schemas.openxmlformats.org/markup-compatibility/2006">
      <mc:Choice Requires="x14">
        <control shapeId="5123" r:id="rId11" name="FPMExcelClientSheetOptions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3" r:id="rId11" name="FPMExcelClientSheetOptionstb1"/>
      </mc:Fallback>
    </mc:AlternateContent>
    <mc:AlternateContent xmlns:mc="http://schemas.openxmlformats.org/markup-compatibility/2006">
      <mc:Choice Requires="x14">
        <control shapeId="5124" r:id="rId13" name="AnalyzerDynReport000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4" r:id="rId13" name="AnalyzerDynReport000tb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F15A-E78E-4AA1-BFD1-6B9C595B733A}">
  <sheetPr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60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90">
        <v>2021</v>
      </c>
      <c r="C4" s="90"/>
      <c r="D4" s="90"/>
      <c r="E4" s="90"/>
      <c r="F4" s="90"/>
      <c r="G4" s="90"/>
      <c r="H4" s="90"/>
      <c r="J4" s="88">
        <v>2020</v>
      </c>
      <c r="K4" s="88"/>
      <c r="L4" s="88"/>
      <c r="M4" s="88"/>
      <c r="N4" s="88"/>
      <c r="O4" s="88"/>
      <c r="P4" s="88"/>
    </row>
    <row r="5" spans="1:16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f>('FY 2021 Sales by Region Report'!B10)/1000000</f>
        <v>532.26046817999998</v>
      </c>
      <c r="C7" s="22">
        <f>('FY 2021 Sales by Region Report'!C10)/1000000</f>
        <v>29.638886120000002</v>
      </c>
      <c r="D7" s="22">
        <f>('FY 2021 Sales by Region Report'!D10)/1000000</f>
        <v>0.39252550000000003</v>
      </c>
      <c r="E7" s="22">
        <f>('FY 2021 Sales by Region Report'!E10)/1000000</f>
        <v>88.462007010000008</v>
      </c>
      <c r="F7" s="22">
        <f>('FY 2021 Sales by Region Report'!F10)/1000000</f>
        <v>118.37985966000001</v>
      </c>
      <c r="G7" s="22">
        <f>('FY 2021 Sales by Region Report'!G10)/1000000</f>
        <v>0</v>
      </c>
      <c r="H7" s="23">
        <f>('FY 2021 Sales by Region Report'!H10)/1000000</f>
        <v>769.13374646999989</v>
      </c>
      <c r="I7" s="24">
        <v>0</v>
      </c>
      <c r="J7" s="24">
        <f>('FY 2021 Sales by Region Report'!J10)/1000000</f>
        <v>487.87259329</v>
      </c>
      <c r="K7" s="24">
        <f>('FY 2021 Sales by Region Report'!K10)/1000000</f>
        <v>24.629130889999999</v>
      </c>
      <c r="L7" s="24">
        <f>('FY 2021 Sales by Region Report'!L10)/1000000</f>
        <v>0.36492363999999999</v>
      </c>
      <c r="M7" s="24">
        <f>('FY 2021 Sales by Region Report'!M10)/1000000</f>
        <v>71.370847099999992</v>
      </c>
      <c r="N7" s="24">
        <f>('FY 2021 Sales by Region Report'!N10)/1000000</f>
        <v>95.568236909999996</v>
      </c>
      <c r="O7" s="24">
        <f>('FY 2021 Sales by Region Report'!O10)/1000000</f>
        <v>3.7960000038146972E-5</v>
      </c>
      <c r="P7" s="23">
        <f>('FY 2021 Sales by Region Report'!P10)/1000000</f>
        <v>679.80576979</v>
      </c>
    </row>
    <row r="8" spans="1:16" x14ac:dyDescent="0.25">
      <c r="A8" s="8" t="s">
        <v>9</v>
      </c>
      <c r="B8" s="18">
        <f>('FY 2021 Sales by Region Report'!B11)/1000000</f>
        <v>109.95529895999999</v>
      </c>
      <c r="C8" s="18">
        <f>('FY 2021 Sales by Region Report'!C11)/1000000</f>
        <v>22.892504531488001</v>
      </c>
      <c r="D8" s="18">
        <f>('FY 2021 Sales by Region Report'!D11)/1000000</f>
        <v>54.287816219999996</v>
      </c>
      <c r="E8" s="18">
        <f>('FY 2021 Sales by Region Report'!E11)/1000000</f>
        <v>42.052669819999998</v>
      </c>
      <c r="F8" s="18">
        <f>('FY 2021 Sales by Region Report'!F11)/1000000</f>
        <v>8.124444969999999</v>
      </c>
      <c r="G8" s="18">
        <f>('FY 2021 Sales by Region Report'!G11)/1000000</f>
        <v>0</v>
      </c>
      <c r="H8" s="19">
        <f>('FY 2021 Sales by Region Report'!H11)/1000000</f>
        <v>237.31273450148799</v>
      </c>
      <c r="I8" s="2">
        <v>0</v>
      </c>
      <c r="J8" s="9">
        <f>('FY 2021 Sales by Region Report'!J11)/1000000</f>
        <v>84.294143969999993</v>
      </c>
      <c r="K8" s="9">
        <f>('FY 2021 Sales by Region Report'!K11)/1000000</f>
        <v>22.612881010000002</v>
      </c>
      <c r="L8" s="9">
        <f>('FY 2021 Sales by Region Report'!L11)/1000000</f>
        <v>42.242802299999994</v>
      </c>
      <c r="M8" s="9">
        <f>('FY 2021 Sales by Region Report'!M11)/1000000</f>
        <v>38.464352859999998</v>
      </c>
      <c r="N8" s="9">
        <f>('FY 2021 Sales by Region Report'!N11)/1000000</f>
        <v>5.0503416200000002</v>
      </c>
      <c r="O8" s="9">
        <f>('FY 2021 Sales by Region Report'!O11)/1000000</f>
        <v>6.4460000008344646E-5</v>
      </c>
      <c r="P8" s="19">
        <f>('FY 2021 Sales by Region Report'!P11)/1000000</f>
        <v>192.66458621999999</v>
      </c>
    </row>
    <row r="9" spans="1:16" x14ac:dyDescent="0.25">
      <c r="A9" s="8" t="s">
        <v>8</v>
      </c>
      <c r="B9" s="18">
        <f>('FY 2021 Sales by Region Report'!B12)/1000000</f>
        <v>85.060240659999991</v>
      </c>
      <c r="C9" s="18">
        <f>('FY 2021 Sales by Region Report'!C12)/1000000</f>
        <v>2.2056822200000004</v>
      </c>
      <c r="D9" s="18">
        <f>('FY 2021 Sales by Region Report'!D12)/1000000</f>
        <v>0</v>
      </c>
      <c r="E9" s="18">
        <f>('FY 2021 Sales by Region Report'!E12)/1000000</f>
        <v>75.865527270000001</v>
      </c>
      <c r="F9" s="18">
        <f>('FY 2021 Sales by Region Report'!F12)/1000000</f>
        <v>27.9799872</v>
      </c>
      <c r="G9" s="18">
        <f>('FY 2021 Sales by Region Report'!G12)/1000000</f>
        <v>0</v>
      </c>
      <c r="H9" s="19">
        <f>('FY 2021 Sales by Region Report'!H12)/1000000</f>
        <v>191.11143734999999</v>
      </c>
      <c r="I9" s="2">
        <v>0</v>
      </c>
      <c r="J9" s="9">
        <f>('FY 2021 Sales by Region Report'!J12)/1000000</f>
        <v>110.85302209000001</v>
      </c>
      <c r="K9" s="9">
        <f>('FY 2021 Sales by Region Report'!K12)/1000000</f>
        <v>4.9331120799999999</v>
      </c>
      <c r="L9" s="9">
        <f>('FY 2021 Sales by Region Report'!L12)/1000000</f>
        <v>0</v>
      </c>
      <c r="M9" s="9">
        <f>('FY 2021 Sales by Region Report'!M12)/1000000</f>
        <v>92.08053034000001</v>
      </c>
      <c r="N9" s="9">
        <f>('FY 2021 Sales by Region Report'!N12)/1000000</f>
        <v>28.570644290000001</v>
      </c>
      <c r="O9" s="9">
        <f>('FY 2021 Sales by Region Report'!O12)/1000000</f>
        <v>5.0220000028610229E-5</v>
      </c>
      <c r="P9" s="19">
        <f>('FY 2021 Sales by Region Report'!P12)/1000000</f>
        <v>236.43735902</v>
      </c>
    </row>
    <row r="10" spans="1:16" x14ac:dyDescent="0.25">
      <c r="A10" s="8" t="s">
        <v>52</v>
      </c>
      <c r="B10" s="18">
        <f>('FY 2021 Sales by Region Report'!B13)/1000000</f>
        <v>22.464856730000001</v>
      </c>
      <c r="C10" s="18">
        <f>('FY 2021 Sales by Region Report'!C13)/1000000</f>
        <v>22.205264370000002</v>
      </c>
      <c r="D10" s="18">
        <f>('FY 2021 Sales by Region Report'!D13)/1000000</f>
        <v>20.353537199999998</v>
      </c>
      <c r="E10" s="18">
        <f>('FY 2021 Sales by Region Report'!E13)/1000000</f>
        <v>35.773157529999999</v>
      </c>
      <c r="F10" s="18">
        <f>('FY 2021 Sales by Region Report'!F13)/1000000</f>
        <v>9.8415398500000002</v>
      </c>
      <c r="G10" s="18">
        <f>('FY 2021 Sales by Region Report'!G13)/1000000</f>
        <v>0</v>
      </c>
      <c r="H10" s="19">
        <f>('FY 2021 Sales by Region Report'!H13)/1000000</f>
        <v>110.63835568</v>
      </c>
      <c r="I10" s="2">
        <v>0</v>
      </c>
      <c r="J10" s="9">
        <f>('FY 2021 Sales by Region Report'!J13)/1000000</f>
        <v>11.441473140000001</v>
      </c>
      <c r="K10" s="9">
        <f>('FY 2021 Sales by Region Report'!K13)/1000000</f>
        <v>21.347596929999998</v>
      </c>
      <c r="L10" s="9">
        <f>('FY 2021 Sales by Region Report'!L13)/1000000</f>
        <v>13.991802119999999</v>
      </c>
      <c r="M10" s="9">
        <f>('FY 2021 Sales by Region Report'!M13)/1000000</f>
        <v>26.906201530000001</v>
      </c>
      <c r="N10" s="9">
        <f>('FY 2021 Sales by Region Report'!N13)/1000000</f>
        <v>6.8654794699999995</v>
      </c>
      <c r="O10" s="9">
        <f>('FY 2021 Sales by Region Report'!O13)/1000000</f>
        <v>4.5930000007152559E-5</v>
      </c>
      <c r="P10" s="19">
        <f>('FY 2021 Sales by Region Report'!P13)/1000000</f>
        <v>80.552599120000011</v>
      </c>
    </row>
    <row r="11" spans="1:16" x14ac:dyDescent="0.25">
      <c r="A11" s="8" t="s">
        <v>10</v>
      </c>
      <c r="B11" s="18">
        <f>('FY 2021 Sales by Region Report'!B14)/1000000</f>
        <v>0</v>
      </c>
      <c r="C11" s="18">
        <f>('FY 2021 Sales by Region Report'!C14)/1000000</f>
        <v>2.0433675899999999</v>
      </c>
      <c r="D11" s="18">
        <f>('FY 2021 Sales by Region Report'!D14)/1000000</f>
        <v>0</v>
      </c>
      <c r="E11" s="18">
        <f>('FY 2021 Sales by Region Report'!E14)/1000000</f>
        <v>45.483352240000002</v>
      </c>
      <c r="F11" s="18">
        <f>('FY 2021 Sales by Region Report'!F14)/1000000</f>
        <v>22.83095518</v>
      </c>
      <c r="G11" s="18">
        <f>('FY 2021 Sales by Region Report'!G14)/1000000</f>
        <v>0</v>
      </c>
      <c r="H11" s="19">
        <f>('FY 2021 Sales by Region Report'!H14)/1000000</f>
        <v>70.357675010000008</v>
      </c>
      <c r="I11" s="2">
        <v>0</v>
      </c>
      <c r="J11" s="9">
        <f>('FY 2021 Sales by Region Report'!J14)/1000000</f>
        <v>0</v>
      </c>
      <c r="K11" s="9">
        <f>('FY 2021 Sales by Region Report'!K14)/1000000</f>
        <v>1.87741157</v>
      </c>
      <c r="L11" s="9">
        <f>('FY 2021 Sales by Region Report'!L14)/1000000</f>
        <v>0</v>
      </c>
      <c r="M11" s="9">
        <f>('FY 2021 Sales by Region Report'!M14)/1000000</f>
        <v>44.011624579999996</v>
      </c>
      <c r="N11" s="9">
        <f>('FY 2021 Sales by Region Report'!N14)/1000000</f>
        <v>21.20767906</v>
      </c>
      <c r="O11" s="9">
        <f>('FY 2021 Sales by Region Report'!O14)/1000000</f>
        <v>4.1080000005662442E-5</v>
      </c>
      <c r="P11" s="19">
        <f>('FY 2021 Sales by Region Report'!P14)/1000000</f>
        <v>67.096756290000002</v>
      </c>
    </row>
    <row r="12" spans="1:16" s="12" customFormat="1" ht="14" x14ac:dyDescent="0.25">
      <c r="A12" s="11" t="s">
        <v>50</v>
      </c>
      <c r="B12" s="18">
        <f>('FY 2021 Sales by Region Report'!B15)/1000000</f>
        <v>94.823633529999967</v>
      </c>
      <c r="C12" s="18">
        <f>('FY 2021 Sales by Region Report'!C15)/1000000</f>
        <v>52.971702769999979</v>
      </c>
      <c r="D12" s="18">
        <f>('FY 2021 Sales by Region Report'!D15)/1000000</f>
        <v>-1.9999995827674865E-8</v>
      </c>
      <c r="E12" s="18">
        <f>('FY 2021 Sales by Region Report'!E15)/1000000</f>
        <v>41.635211339999977</v>
      </c>
      <c r="F12" s="18">
        <f>('FY 2021 Sales by Region Report'!F15)/1000000</f>
        <v>43.963804129999993</v>
      </c>
      <c r="G12" s="18">
        <f>('FY 2021 Sales by Region Report'!G15)/1000000</f>
        <v>0</v>
      </c>
      <c r="H12" s="19">
        <f>('FY 2021 Sales by Region Report'!H15)/1000000</f>
        <v>233.39435175</v>
      </c>
      <c r="I12" s="12">
        <v>0</v>
      </c>
      <c r="J12" s="9">
        <f>('FY 2021 Sales by Region Report'!J15)/1000000</f>
        <v>165.07775963</v>
      </c>
      <c r="K12" s="9">
        <f>('FY 2021 Sales by Region Report'!K15)/1000000</f>
        <v>51.822040620000003</v>
      </c>
      <c r="L12" s="9">
        <f>('FY 2021 Sales by Region Report'!L15)/1000000</f>
        <v>7.4505805969238278E-15</v>
      </c>
      <c r="M12" s="9">
        <f>('FY 2021 Sales by Region Report'!M15)/1000000</f>
        <v>40.330960979999958</v>
      </c>
      <c r="N12" s="9">
        <f>('FY 2021 Sales by Region Report'!N15)/1000000</f>
        <v>41.147187439999996</v>
      </c>
      <c r="O12" s="9">
        <f>('FY 2021 Sales by Region Report'!O15)/1000000</f>
        <v>-0.11521172999989987</v>
      </c>
      <c r="P12" s="19">
        <f>('FY 2021 Sales by Region Report'!P15)/1000000</f>
        <v>298.26273694000008</v>
      </c>
    </row>
    <row r="13" spans="1:16" s="12" customFormat="1" x14ac:dyDescent="0.25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5">
      <c r="A14" s="8" t="s">
        <v>11</v>
      </c>
      <c r="B14" s="18">
        <f>('FY 2021 Sales by Region Report'!B17)/1000000</f>
        <v>164.41815656999998</v>
      </c>
      <c r="C14" s="18">
        <f>('FY 2021 Sales by Region Report'!C17)/1000000</f>
        <v>4.8081950300000003</v>
      </c>
      <c r="D14" s="18">
        <f>('FY 2021 Sales by Region Report'!D17)/1000000</f>
        <v>0</v>
      </c>
      <c r="E14" s="18">
        <f>('FY 2021 Sales by Region Report'!E17)/1000000</f>
        <v>16.545256519999999</v>
      </c>
      <c r="F14" s="18">
        <f>('FY 2021 Sales by Region Report'!F17)/1000000</f>
        <v>0</v>
      </c>
      <c r="G14" s="18">
        <f>('FY 2021 Sales by Region Report'!G17)/1000000</f>
        <v>0</v>
      </c>
      <c r="H14" s="19">
        <f>('FY 2021 Sales by Region Report'!H17)/1000000</f>
        <v>185.77160812</v>
      </c>
      <c r="I14" s="2">
        <v>0</v>
      </c>
      <c r="J14" s="9">
        <f>('FY 2021 Sales by Region Report'!J17)/1000000</f>
        <v>123.4912566</v>
      </c>
      <c r="K14" s="9">
        <f>('FY 2021 Sales by Region Report'!K17)/1000000</f>
        <v>1.9760734600000001</v>
      </c>
      <c r="L14" s="9">
        <f>('FY 2021 Sales by Region Report'!L17)/1000000</f>
        <v>0</v>
      </c>
      <c r="M14" s="9">
        <f>('FY 2021 Sales by Region Report'!M17)/1000000</f>
        <v>9.647219960000001</v>
      </c>
      <c r="N14" s="9">
        <f>('FY 2021 Sales by Region Report'!N17)/1000000</f>
        <v>0</v>
      </c>
      <c r="O14" s="9">
        <f>('FY 2021 Sales by Region Report'!O17)/1000000</f>
        <v>3.1630000025033951E-5</v>
      </c>
      <c r="P14" s="19">
        <f>('FY 2021 Sales by Region Report'!P17)/1000000</f>
        <v>135.11458165000002</v>
      </c>
    </row>
    <row r="15" spans="1:16" x14ac:dyDescent="0.25">
      <c r="A15" s="8" t="s">
        <v>13</v>
      </c>
      <c r="B15" s="18">
        <f>('FY 2021 Sales by Region Report'!B18)/1000000</f>
        <v>34.177966529999999</v>
      </c>
      <c r="C15" s="18">
        <f>('FY 2021 Sales by Region Report'!C18)/1000000</f>
        <v>1.7637229399999999</v>
      </c>
      <c r="D15" s="18">
        <f>('FY 2021 Sales by Region Report'!D18)/1000000</f>
        <v>0</v>
      </c>
      <c r="E15" s="18">
        <f>('FY 2021 Sales by Region Report'!E18)/1000000</f>
        <v>55.541674909999998</v>
      </c>
      <c r="F15" s="18">
        <f>('FY 2021 Sales by Region Report'!F18)/1000000</f>
        <v>34.651934199999999</v>
      </c>
      <c r="G15" s="18">
        <f>('FY 2021 Sales by Region Report'!G18)/1000000</f>
        <v>0</v>
      </c>
      <c r="H15" s="19">
        <f>('FY 2021 Sales by Region Report'!H18)/1000000</f>
        <v>126.13529858</v>
      </c>
      <c r="I15" s="2">
        <v>0</v>
      </c>
      <c r="J15" s="9">
        <f>('FY 2021 Sales by Region Report'!J18)/1000000</f>
        <v>2.52923008</v>
      </c>
      <c r="K15" s="9">
        <f>('FY 2021 Sales by Region Report'!K18)/1000000</f>
        <v>0.86273688000000004</v>
      </c>
      <c r="L15" s="9">
        <f>('FY 2021 Sales by Region Report'!L18)/1000000</f>
        <v>0</v>
      </c>
      <c r="M15" s="9">
        <f>('FY 2021 Sales by Region Report'!M18)/1000000</f>
        <v>79.508027510000005</v>
      </c>
      <c r="N15" s="9">
        <f>('FY 2021 Sales by Region Report'!N18)/1000000</f>
        <v>32.269686839999999</v>
      </c>
      <c r="O15" s="9">
        <f>('FY 2021 Sales by Region Report'!O18)/1000000</f>
        <v>2.2390000000596048E-5</v>
      </c>
      <c r="P15" s="19">
        <f>('FY 2021 Sales by Region Report'!P18)/1000000</f>
        <v>115.1697037</v>
      </c>
    </row>
    <row r="16" spans="1:16" x14ac:dyDescent="0.25">
      <c r="A16" s="8" t="s">
        <v>14</v>
      </c>
      <c r="B16" s="18">
        <f>('FY 2021 Sales by Region Report'!B19)/1000000</f>
        <v>0</v>
      </c>
      <c r="C16" s="18">
        <f>('FY 2021 Sales by Region Report'!C19)/1000000</f>
        <v>19.80491297</v>
      </c>
      <c r="D16" s="18">
        <f>('FY 2021 Sales by Region Report'!D19)/1000000</f>
        <v>0</v>
      </c>
      <c r="E16" s="18">
        <f>('FY 2021 Sales by Region Report'!E19)/1000000</f>
        <v>22.431493120000003</v>
      </c>
      <c r="F16" s="18">
        <f>('FY 2021 Sales by Region Report'!F19)/1000000</f>
        <v>20.80510864</v>
      </c>
      <c r="G16" s="18">
        <f>('FY 2021 Sales by Region Report'!G19)/1000000</f>
        <v>0</v>
      </c>
      <c r="H16" s="19">
        <f>('FY 2021 Sales by Region Report'!H19)/1000000</f>
        <v>63.041514729999996</v>
      </c>
      <c r="I16" s="2">
        <v>0</v>
      </c>
      <c r="J16" s="9">
        <f>('FY 2021 Sales by Region Report'!J19)/1000000</f>
        <v>0</v>
      </c>
      <c r="K16" s="9">
        <f>('FY 2021 Sales by Region Report'!K19)/1000000</f>
        <v>15.082117439999999</v>
      </c>
      <c r="L16" s="9">
        <f>('FY 2021 Sales by Region Report'!L19)/1000000</f>
        <v>0</v>
      </c>
      <c r="M16" s="9">
        <f>('FY 2021 Sales by Region Report'!M19)/1000000</f>
        <v>17.345699700000001</v>
      </c>
      <c r="N16" s="9">
        <f>('FY 2021 Sales by Region Report'!N19)/1000000</f>
        <v>42.056874049999998</v>
      </c>
      <c r="O16" s="9">
        <f>('FY 2021 Sales by Region Report'!O19)/1000000</f>
        <v>4.689999997615814E-6</v>
      </c>
      <c r="P16" s="19">
        <f>('FY 2021 Sales by Region Report'!P19)/1000000</f>
        <v>74.48469587999999</v>
      </c>
    </row>
    <row r="17" spans="1:16" ht="14" x14ac:dyDescent="0.25">
      <c r="A17" s="8" t="s">
        <v>49</v>
      </c>
      <c r="B17" s="18">
        <f>('FY 2021 Sales by Region Report'!B20)/1000000</f>
        <v>0</v>
      </c>
      <c r="C17" s="18">
        <f>('FY 2021 Sales by Region Report'!C20)/1000000</f>
        <v>5.9982958000000011</v>
      </c>
      <c r="D17" s="18">
        <f>('FY 2021 Sales by Region Report'!D20)/1000000</f>
        <v>0</v>
      </c>
      <c r="E17" s="18">
        <f>('FY 2021 Sales by Region Report'!E20)/1000000</f>
        <v>42.962284869999991</v>
      </c>
      <c r="F17" s="18">
        <f>('FY 2021 Sales by Region Report'!F20)/1000000</f>
        <v>0</v>
      </c>
      <c r="G17" s="18">
        <f>('FY 2021 Sales by Region Report'!G20)/1000000</f>
        <v>0</v>
      </c>
      <c r="H17" s="19">
        <f>('FY 2021 Sales by Region Report'!H20)/1000000</f>
        <v>48.96058067000002</v>
      </c>
      <c r="I17" s="2">
        <v>0</v>
      </c>
      <c r="J17" s="9">
        <f>('FY 2021 Sales by Region Report'!J20)/1000000</f>
        <v>1.4901161193847656E-14</v>
      </c>
      <c r="K17" s="9">
        <f>('FY 2021 Sales by Region Report'!K20)/1000000</f>
        <v>0</v>
      </c>
      <c r="L17" s="9">
        <f>('FY 2021 Sales by Region Report'!L20)/1000000</f>
        <v>0</v>
      </c>
      <c r="M17" s="9">
        <f>('FY 2021 Sales by Region Report'!M20)/1000000</f>
        <v>5.4816429299999925</v>
      </c>
      <c r="N17" s="9">
        <f>('FY 2021 Sales by Region Report'!N20)/1000000</f>
        <v>0</v>
      </c>
      <c r="O17" s="9">
        <f>('FY 2021 Sales by Region Report'!O20)/1000000</f>
        <v>1.0399999618530274E-6</v>
      </c>
      <c r="P17" s="19">
        <f>('FY 2021 Sales by Region Report'!P20)/1000000</f>
        <v>5.4816439699999693</v>
      </c>
    </row>
    <row r="18" spans="1:16" x14ac:dyDescent="0.25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5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5">
      <c r="A20" s="8" t="s">
        <v>15</v>
      </c>
      <c r="B20" s="18">
        <f>('FY 2021 Sales by Region Report'!B22)/1000000</f>
        <v>9.6778230900000004</v>
      </c>
      <c r="C20" s="18">
        <f>('FY 2021 Sales by Region Report'!C22)/1000000</f>
        <v>71.874794829999999</v>
      </c>
      <c r="D20" s="18">
        <f>('FY 2021 Sales by Region Report'!D22)/1000000</f>
        <v>174.24482494999998</v>
      </c>
      <c r="E20" s="18">
        <f>('FY 2021 Sales by Region Report'!E22)/1000000</f>
        <v>97.107286989999992</v>
      </c>
      <c r="F20" s="18">
        <f>('FY 2021 Sales by Region Report'!F22)/1000000</f>
        <v>24.62245858</v>
      </c>
      <c r="G20" s="18">
        <f>('FY 2021 Sales by Region Report'!G22)/1000000</f>
        <v>0</v>
      </c>
      <c r="H20" s="19">
        <f>('FY 2021 Sales by Region Report'!H22)/1000000</f>
        <v>377.52718843999997</v>
      </c>
      <c r="I20" s="2">
        <v>0</v>
      </c>
      <c r="J20" s="9">
        <f>('FY 2021 Sales by Region Report'!J22)/1000000</f>
        <v>-1.00916932</v>
      </c>
      <c r="K20" s="9">
        <f>('FY 2021 Sales by Region Report'!K22)/1000000</f>
        <v>243.01629968</v>
      </c>
      <c r="L20" s="9">
        <f>('FY 2021 Sales by Region Report'!L22)/1000000</f>
        <v>112.55048948000001</v>
      </c>
      <c r="M20" s="9">
        <f>('FY 2021 Sales by Region Report'!M22)/1000000</f>
        <v>101.42870968999999</v>
      </c>
      <c r="N20" s="9">
        <f>('FY 2021 Sales by Region Report'!N22)/1000000</f>
        <v>25.779919700000001</v>
      </c>
      <c r="O20" s="9">
        <f>('FY 2021 Sales by Region Report'!O22)/1000000</f>
        <v>6.1589999973773961E-5</v>
      </c>
      <c r="P20" s="19">
        <f>('FY 2021 Sales by Region Report'!P22)/1000000</f>
        <v>481.76631082</v>
      </c>
    </row>
    <row r="21" spans="1:16" x14ac:dyDescent="0.25">
      <c r="A21" s="11" t="s">
        <v>16</v>
      </c>
      <c r="B21" s="18">
        <f>('FY 2021 Sales by Region Report'!B23)/1000000</f>
        <v>10.57915023</v>
      </c>
      <c r="C21" s="18">
        <f>('FY 2021 Sales by Region Report'!C23)/1000000</f>
        <v>37.610041899999999</v>
      </c>
      <c r="D21" s="18">
        <f>('FY 2021 Sales by Region Report'!D23)/1000000</f>
        <v>1.7425894799999999</v>
      </c>
      <c r="E21" s="18">
        <f>('FY 2021 Sales by Region Report'!E23)/1000000</f>
        <v>77.578593380000001</v>
      </c>
      <c r="F21" s="18">
        <f>('FY 2021 Sales by Region Report'!F23)/1000000</f>
        <v>36.309877229999998</v>
      </c>
      <c r="G21" s="18">
        <f>('FY 2021 Sales by Region Report'!G23)/1000000</f>
        <v>0.18562457000002264</v>
      </c>
      <c r="H21" s="19">
        <f>('FY 2021 Sales by Region Report'!H23)/1000000</f>
        <v>164.00587679</v>
      </c>
      <c r="I21" s="2">
        <v>0</v>
      </c>
      <c r="J21" s="9">
        <f>('FY 2021 Sales by Region Report'!J23)/1000000</f>
        <v>12.397038720000001</v>
      </c>
      <c r="K21" s="9">
        <f>('FY 2021 Sales by Region Report'!K23)/1000000</f>
        <v>40.923274549999995</v>
      </c>
      <c r="L21" s="9">
        <f>('FY 2021 Sales by Region Report'!L23)/1000000</f>
        <v>1.5123800300000001</v>
      </c>
      <c r="M21" s="9">
        <f>('FY 2021 Sales by Region Report'!M23)/1000000</f>
        <v>85.069494180000007</v>
      </c>
      <c r="N21" s="9">
        <f>('FY 2021 Sales by Region Report'!N23)/1000000</f>
        <v>42.526674060000005</v>
      </c>
      <c r="O21" s="9">
        <f>('FY 2021 Sales by Region Report'!O23)/1000000</f>
        <v>4.6739999979734421E-5</v>
      </c>
      <c r="P21" s="19">
        <f>('FY 2021 Sales by Region Report'!P23)/1000000</f>
        <v>182.42890828</v>
      </c>
    </row>
    <row r="22" spans="1:16" x14ac:dyDescent="0.25">
      <c r="A22" s="8" t="s">
        <v>17</v>
      </c>
      <c r="B22" s="18">
        <f>('FY 2021 Sales by Region Report'!B24)/1000000</f>
        <v>0</v>
      </c>
      <c r="C22" s="18">
        <f>('FY 2021 Sales by Region Report'!C24)/1000000</f>
        <v>141.44905602</v>
      </c>
      <c r="D22" s="18">
        <f>('FY 2021 Sales by Region Report'!D24)/1000000</f>
        <v>0</v>
      </c>
      <c r="E22" s="18">
        <f>('FY 2021 Sales by Region Report'!E24)/1000000</f>
        <v>288.72309525999998</v>
      </c>
      <c r="F22" s="18">
        <f>('FY 2021 Sales by Region Report'!F24)/1000000</f>
        <v>27.399560480000002</v>
      </c>
      <c r="G22" s="18">
        <f>('FY 2021 Sales by Region Report'!G24)/1000000</f>
        <v>0</v>
      </c>
      <c r="H22" s="19">
        <f>('FY 2021 Sales by Region Report'!H24)/1000000</f>
        <v>457.57171175999997</v>
      </c>
      <c r="I22" s="2">
        <v>0</v>
      </c>
      <c r="J22" s="9">
        <f>('FY 2021 Sales by Region Report'!J24)/1000000</f>
        <v>0</v>
      </c>
      <c r="K22" s="9">
        <f>('FY 2021 Sales by Region Report'!K24)/1000000</f>
        <v>127.9583772</v>
      </c>
      <c r="L22" s="9">
        <f>('FY 2021 Sales by Region Report'!L24)/1000000</f>
        <v>0</v>
      </c>
      <c r="M22" s="9">
        <f>('FY 2021 Sales by Region Report'!M24)/1000000</f>
        <v>302.33086286000002</v>
      </c>
      <c r="N22" s="9">
        <f>('FY 2021 Sales by Region Report'!N24)/1000000</f>
        <v>23.15815229</v>
      </c>
      <c r="O22" s="9">
        <f>('FY 2021 Sales by Region Report'!O24)/1000000</f>
        <v>4.1079999983310699E-5</v>
      </c>
      <c r="P22" s="19">
        <f>('FY 2021 Sales by Region Report'!P24)/1000000</f>
        <v>453.44743342999999</v>
      </c>
    </row>
    <row r="23" spans="1:16" x14ac:dyDescent="0.25">
      <c r="A23" s="8" t="s">
        <v>18</v>
      </c>
      <c r="B23" s="18">
        <f>('FY 2021 Sales by Region Report'!B25)/1000000</f>
        <v>0</v>
      </c>
      <c r="C23" s="18">
        <f>('FY 2021 Sales by Region Report'!C25)/1000000</f>
        <v>66.783736959999999</v>
      </c>
      <c r="D23" s="18">
        <f>('FY 2021 Sales by Region Report'!D25)/1000000</f>
        <v>0</v>
      </c>
      <c r="E23" s="18">
        <f>('FY 2021 Sales by Region Report'!E25)/1000000</f>
        <v>0</v>
      </c>
      <c r="F23" s="18">
        <f>('FY 2021 Sales by Region Report'!F25)/1000000</f>
        <v>1.0401929399999998</v>
      </c>
      <c r="G23" s="18">
        <f>('FY 2021 Sales by Region Report'!G25)/1000000</f>
        <v>0</v>
      </c>
      <c r="H23" s="19">
        <f>('FY 2021 Sales by Region Report'!H25)/1000000</f>
        <v>67.82392990000001</v>
      </c>
      <c r="I23" s="2">
        <v>0</v>
      </c>
      <c r="J23" s="9">
        <f>('FY 2021 Sales by Region Report'!J25)/1000000</f>
        <v>0</v>
      </c>
      <c r="K23" s="9">
        <f>('FY 2021 Sales by Region Report'!K25)/1000000</f>
        <v>130.02959290000001</v>
      </c>
      <c r="L23" s="9">
        <f>('FY 2021 Sales by Region Report'!L25)/1000000</f>
        <v>0</v>
      </c>
      <c r="M23" s="9">
        <f>('FY 2021 Sales by Region Report'!M25)/1000000</f>
        <v>0</v>
      </c>
      <c r="N23" s="9">
        <f>('FY 2021 Sales by Region Report'!N25)/1000000</f>
        <v>0</v>
      </c>
      <c r="O23" s="9">
        <f>('FY 2021 Sales by Region Report'!O25)/1000000</f>
        <v>-2.9800000041723253E-6</v>
      </c>
      <c r="P23" s="19">
        <f>('FY 2021 Sales by Region Report'!P25)/1000000</f>
        <v>130.02958992000001</v>
      </c>
    </row>
    <row r="24" spans="1:16" x14ac:dyDescent="0.25">
      <c r="A24" s="8" t="s">
        <v>19</v>
      </c>
      <c r="B24" s="18">
        <f>('FY 2021 Sales by Region Report'!B26)/1000000</f>
        <v>12.1245779</v>
      </c>
      <c r="C24" s="18">
        <f>('FY 2021 Sales by Region Report'!C26)/1000000</f>
        <v>109.74266759000001</v>
      </c>
      <c r="D24" s="18">
        <f>('FY 2021 Sales by Region Report'!D26)/1000000</f>
        <v>162.52430525</v>
      </c>
      <c r="E24" s="18">
        <f>('FY 2021 Sales by Region Report'!E26)/1000000</f>
        <v>40.426584170000005</v>
      </c>
      <c r="F24" s="18">
        <f>('FY 2021 Sales by Region Report'!F26)/1000000</f>
        <v>32.525087630000002</v>
      </c>
      <c r="G24" s="18">
        <f>('FY 2021 Sales by Region Report'!G26)/1000000</f>
        <v>0</v>
      </c>
      <c r="H24" s="19">
        <f>('FY 2021 Sales by Region Report'!H26)/1000000</f>
        <v>357.34322254</v>
      </c>
      <c r="I24" s="2">
        <v>0</v>
      </c>
      <c r="J24" s="9">
        <f>('FY 2021 Sales by Region Report'!J26)/1000000</f>
        <v>21.33030608</v>
      </c>
      <c r="K24" s="9">
        <f>('FY 2021 Sales by Region Report'!K26)/1000000</f>
        <v>113.73250131</v>
      </c>
      <c r="L24" s="9">
        <f>('FY 2021 Sales by Region Report'!L26)/1000000</f>
        <v>161.57177490000001</v>
      </c>
      <c r="M24" s="9">
        <f>('FY 2021 Sales by Region Report'!M26)/1000000</f>
        <v>47.592695970000001</v>
      </c>
      <c r="N24" s="9">
        <f>('FY 2021 Sales by Region Report'!N26)/1000000</f>
        <v>41.895671530000001</v>
      </c>
      <c r="O24" s="9">
        <f>('FY 2021 Sales by Region Report'!O26)/1000000</f>
        <v>1.5160000002384185E-4</v>
      </c>
      <c r="P24" s="19">
        <f>('FY 2021 Sales by Region Report'!P26)/1000000</f>
        <v>386.12310138999999</v>
      </c>
    </row>
    <row r="25" spans="1:16" x14ac:dyDescent="0.25">
      <c r="A25" s="8" t="s">
        <v>20</v>
      </c>
      <c r="B25" s="18">
        <f>('FY 2021 Sales by Region Report'!B27)/1000000</f>
        <v>3.8247087500000001</v>
      </c>
      <c r="C25" s="18">
        <f>('FY 2021 Sales by Region Report'!C27)/1000000</f>
        <v>14.318877560000001</v>
      </c>
      <c r="D25" s="18">
        <f>('FY 2021 Sales by Region Report'!D27)/1000000</f>
        <v>19.360215069999999</v>
      </c>
      <c r="E25" s="18">
        <f>('FY 2021 Sales by Region Report'!E27)/1000000</f>
        <v>18.24086475</v>
      </c>
      <c r="F25" s="18">
        <f>('FY 2021 Sales by Region Report'!F27)/1000000</f>
        <v>8.8955082500000007</v>
      </c>
      <c r="G25" s="18">
        <f>('FY 2021 Sales by Region Report'!G27)/1000000</f>
        <v>0</v>
      </c>
      <c r="H25" s="19">
        <f>('FY 2021 Sales by Region Report'!H27)/1000000</f>
        <v>64.640174380000005</v>
      </c>
      <c r="I25" s="2">
        <v>0</v>
      </c>
      <c r="J25" s="9">
        <f>('FY 2021 Sales by Region Report'!J27)/1000000</f>
        <v>2.54209694</v>
      </c>
      <c r="K25" s="9">
        <f>('FY 2021 Sales by Region Report'!K27)/1000000</f>
        <v>15.523301330000001</v>
      </c>
      <c r="L25" s="9">
        <f>('FY 2021 Sales by Region Report'!L27)/1000000</f>
        <v>29.636947890000002</v>
      </c>
      <c r="M25" s="9">
        <f>('FY 2021 Sales by Region Report'!M27)/1000000</f>
        <v>20.36485832</v>
      </c>
      <c r="N25" s="9">
        <f>('FY 2021 Sales by Region Report'!N27)/1000000</f>
        <v>8.9876385699999997</v>
      </c>
      <c r="O25" s="9">
        <f>('FY 2021 Sales by Region Report'!O27)/1000000</f>
        <v>2.8070000022649767E-5</v>
      </c>
      <c r="P25" s="19">
        <f>('FY 2021 Sales by Region Report'!P27)/1000000</f>
        <v>77.054871120000001</v>
      </c>
    </row>
    <row r="26" spans="1:16" s="12" customFormat="1" ht="14" x14ac:dyDescent="0.25">
      <c r="A26" s="11" t="s">
        <v>48</v>
      </c>
      <c r="B26" s="18">
        <f>('FY 2021 Sales by Region Report'!B28)/1000000</f>
        <v>0</v>
      </c>
      <c r="C26" s="18">
        <f>('FY 2021 Sales by Region Report'!C28)/1000000</f>
        <v>45.934918150000037</v>
      </c>
      <c r="D26" s="18">
        <f>('FY 2021 Sales by Region Report'!D28)/1000000</f>
        <v>9.6639700000882151E-3</v>
      </c>
      <c r="E26" s="18">
        <f>('FY 2021 Sales by Region Report'!E28)/1000000</f>
        <v>56.277635069999995</v>
      </c>
      <c r="F26" s="18">
        <f>('FY 2021 Sales by Region Report'!F28)/1000000</f>
        <v>24.426597920000017</v>
      </c>
      <c r="G26" s="18">
        <f>('FY 2021 Sales by Region Report'!G28)/1000000</f>
        <v>-2.3841857910156249E-13</v>
      </c>
      <c r="H26" s="19">
        <f>('FY 2021 Sales by Region Report'!H28)/1000000</f>
        <v>126.6488151099999</v>
      </c>
      <c r="I26" s="12">
        <v>0</v>
      </c>
      <c r="J26" s="9">
        <f>('FY 2021 Sales by Region Report'!J28)/1000000</f>
        <v>7.4505805969238278E-15</v>
      </c>
      <c r="K26" s="9">
        <f>('FY 2021 Sales by Region Report'!K28)/1000000</f>
        <v>73.483731159999849</v>
      </c>
      <c r="L26" s="9">
        <f>('FY 2021 Sales by Region Report'!L28)/1000000</f>
        <v>7.8587799999713902E-3</v>
      </c>
      <c r="M26" s="9">
        <f>('FY 2021 Sales by Region Report'!M28)/1000000</f>
        <v>60.03848702999985</v>
      </c>
      <c r="N26" s="9">
        <f>('FY 2021 Sales by Region Report'!N28)/1000000</f>
        <v>28.443513069999995</v>
      </c>
      <c r="O26" s="9">
        <f>('FY 2021 Sales by Region Report'!O28)/1000000</f>
        <v>6.6640000402927392E-5</v>
      </c>
      <c r="P26" s="19">
        <f>('FY 2021 Sales by Region Report'!P28)/1000000</f>
        <v>161.97365668000006</v>
      </c>
    </row>
    <row r="27" spans="1:16" s="12" customFormat="1" x14ac:dyDescent="0.25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5">
      <c r="A28" s="8" t="s">
        <v>21</v>
      </c>
      <c r="B28" s="18">
        <f>('FY 2021 Sales by Region Report'!B30)/1000000</f>
        <v>15.019190980000001</v>
      </c>
      <c r="C28" s="18">
        <f>('FY 2021 Sales by Region Report'!C30)/1000000</f>
        <v>155.95948672999998</v>
      </c>
      <c r="D28" s="18">
        <f>('FY 2021 Sales by Region Report'!D30)/1000000</f>
        <v>139.73923916999999</v>
      </c>
      <c r="E28" s="18">
        <f>('FY 2021 Sales by Region Report'!E30)/1000000</f>
        <v>64.940816470000001</v>
      </c>
      <c r="F28" s="18">
        <f>('FY 2021 Sales by Region Report'!F30)/1000000</f>
        <v>37.17206994</v>
      </c>
      <c r="G28" s="18">
        <f>('FY 2021 Sales by Region Report'!G30)/1000000</f>
        <v>0</v>
      </c>
      <c r="H28" s="19">
        <f>('FY 2021 Sales by Region Report'!H30)/1000000</f>
        <v>412.83080329000001</v>
      </c>
      <c r="I28" s="2">
        <v>0</v>
      </c>
      <c r="J28" s="9">
        <f>('FY 2021 Sales by Region Report'!J30)/1000000</f>
        <v>17.960379769999999</v>
      </c>
      <c r="K28" s="9">
        <f>('FY 2021 Sales by Region Report'!K30)/1000000</f>
        <v>189.41084280000001</v>
      </c>
      <c r="L28" s="9">
        <f>('FY 2021 Sales by Region Report'!L30)/1000000</f>
        <v>140.65723616999998</v>
      </c>
      <c r="M28" s="9">
        <f>('FY 2021 Sales by Region Report'!M30)/1000000</f>
        <v>69.491349480000011</v>
      </c>
      <c r="N28" s="9">
        <f>('FY 2021 Sales by Region Report'!N30)/1000000</f>
        <v>44.295274090000007</v>
      </c>
      <c r="O28" s="9">
        <f>('FY 2021 Sales by Region Report'!O30)/1000000</f>
        <v>3.8639999926090239E-5</v>
      </c>
      <c r="P28" s="19">
        <f>('FY 2021 Sales by Region Report'!P30)/1000000</f>
        <v>461.81512094999999</v>
      </c>
    </row>
    <row r="29" spans="1:16" x14ac:dyDescent="0.25">
      <c r="A29" s="8" t="s">
        <v>22</v>
      </c>
      <c r="B29" s="20">
        <f>('FY 2021 Sales by Region Report'!B31)/1000000</f>
        <v>4.4719013700000003</v>
      </c>
      <c r="C29" s="20">
        <f>('FY 2021 Sales by Region Report'!C31)/1000000</f>
        <v>23.064362729999999</v>
      </c>
      <c r="D29" s="20">
        <f>('FY 2021 Sales by Region Report'!D31)/1000000</f>
        <v>69.537477019999997</v>
      </c>
      <c r="E29" s="20">
        <f>('FY 2021 Sales by Region Report'!E31)/1000000</f>
        <v>43.667621099999998</v>
      </c>
      <c r="F29" s="20">
        <f>('FY 2021 Sales by Region Report'!F31)/1000000</f>
        <v>63.88946301</v>
      </c>
      <c r="G29" s="18">
        <f>('FY 2021 Sales by Region Report'!G31)/1000000</f>
        <v>1.1067635800000131</v>
      </c>
      <c r="H29" s="21">
        <f>('FY 2021 Sales by Region Report'!H31)/1000000</f>
        <v>205.73758881000001</v>
      </c>
      <c r="I29" s="2">
        <v>0</v>
      </c>
      <c r="J29" s="14">
        <f>('FY 2021 Sales by Region Report'!J31)/1000000</f>
        <v>11.97684469</v>
      </c>
      <c r="K29" s="14">
        <f>('FY 2021 Sales by Region Report'!K31)/1000000</f>
        <v>42.116221289999999</v>
      </c>
      <c r="L29" s="14">
        <f>('FY 2021 Sales by Region Report'!L31)/1000000</f>
        <v>52.028727859999996</v>
      </c>
      <c r="M29" s="14">
        <f>('FY 2021 Sales by Region Report'!M31)/1000000</f>
        <v>45.083623700000004</v>
      </c>
      <c r="N29" s="14">
        <f>('FY 2021 Sales by Region Report'!N31)/1000000</f>
        <v>67.034888940000002</v>
      </c>
      <c r="O29" s="14">
        <f>('FY 2021 Sales by Region Report'!O31)/1000000</f>
        <v>8.3550279999971389E-2</v>
      </c>
      <c r="P29" s="21">
        <f>('FY 2021 Sales by Region Report'!P31)/1000000</f>
        <v>218.32385675999998</v>
      </c>
    </row>
    <row r="30" spans="1:16" x14ac:dyDescent="0.25">
      <c r="A30" s="11" t="s">
        <v>23</v>
      </c>
      <c r="B30" s="18">
        <f>('FY 2021 Sales by Region Report'!B32)/1000000</f>
        <v>154.47274652000002</v>
      </c>
      <c r="C30" s="18">
        <f>('FY 2021 Sales by Region Report'!C32)/1000000</f>
        <v>0</v>
      </c>
      <c r="D30" s="18">
        <f>('FY 2021 Sales by Region Report'!D32)/1000000</f>
        <v>0</v>
      </c>
      <c r="E30" s="18">
        <f>('FY 2021 Sales by Region Report'!E32)/1000000</f>
        <v>34.674126799999996</v>
      </c>
      <c r="F30" s="18">
        <f>('FY 2021 Sales by Region Report'!F32)/1000000</f>
        <v>0.91593059999999993</v>
      </c>
      <c r="G30" s="18">
        <f>('FY 2021 Sales by Region Report'!G32)/1000000</f>
        <v>0</v>
      </c>
      <c r="H30" s="19">
        <f>('FY 2021 Sales by Region Report'!H32)/1000000</f>
        <v>190.06280391999999</v>
      </c>
      <c r="I30" s="2">
        <v>0</v>
      </c>
      <c r="J30" s="9">
        <f>('FY 2021 Sales by Region Report'!J32)/1000000</f>
        <v>188.23421487000002</v>
      </c>
      <c r="K30" s="9">
        <f>('FY 2021 Sales by Region Report'!K32)/1000000</f>
        <v>0</v>
      </c>
      <c r="L30" s="9">
        <f>('FY 2021 Sales by Region Report'!L32)/1000000</f>
        <v>0</v>
      </c>
      <c r="M30" s="9">
        <f>('FY 2021 Sales by Region Report'!M32)/1000000</f>
        <v>33.706246669999999</v>
      </c>
      <c r="N30" s="9">
        <f>('FY 2021 Sales by Region Report'!N32)/1000000</f>
        <v>0.53709315000000002</v>
      </c>
      <c r="O30" s="9">
        <f>('FY 2021 Sales by Region Report'!O32)/1000000</f>
        <v>2.0369999974966049E-5</v>
      </c>
      <c r="P30" s="19">
        <f>('FY 2021 Sales by Region Report'!P32)/1000000</f>
        <v>222.47757505999999</v>
      </c>
    </row>
    <row r="31" spans="1:16" x14ac:dyDescent="0.25">
      <c r="A31" s="8" t="s">
        <v>24</v>
      </c>
      <c r="B31" s="20">
        <f>('FY 2021 Sales by Region Report'!B33)/1000000</f>
        <v>5.6283630100000002</v>
      </c>
      <c r="C31" s="20">
        <f>('FY 2021 Sales by Region Report'!C33)/1000000</f>
        <v>25.15681155</v>
      </c>
      <c r="D31" s="18">
        <f>('FY 2021 Sales by Region Report'!D33)/1000000</f>
        <v>0.14091685999999998</v>
      </c>
      <c r="E31" s="20">
        <f>('FY 2021 Sales by Region Report'!E33)/1000000</f>
        <v>54.974899010000001</v>
      </c>
      <c r="F31" s="20">
        <f>('FY 2021 Sales by Region Report'!F33)/1000000</f>
        <v>25.450354579999999</v>
      </c>
      <c r="G31" s="20">
        <f>('FY 2021 Sales by Region Report'!G33)/1000000</f>
        <v>0</v>
      </c>
      <c r="H31" s="19">
        <f>('FY 2021 Sales by Region Report'!H33)/1000000</f>
        <v>111.35134501</v>
      </c>
      <c r="I31" s="2">
        <v>0</v>
      </c>
      <c r="J31" s="14">
        <f>('FY 2021 Sales by Region Report'!J33)/1000000</f>
        <v>6.9583714500000005</v>
      </c>
      <c r="K31" s="14">
        <f>('FY 2021 Sales by Region Report'!K33)/1000000</f>
        <v>36.311719850000003</v>
      </c>
      <c r="L31" s="14">
        <f>('FY 2021 Sales by Region Report'!L33)/1000000</f>
        <v>0.37725370000000003</v>
      </c>
      <c r="M31" s="14">
        <f>('FY 2021 Sales by Region Report'!M33)/1000000</f>
        <v>57.733331579999998</v>
      </c>
      <c r="N31" s="14">
        <f>('FY 2021 Sales by Region Report'!N33)/1000000</f>
        <v>28.720573050000002</v>
      </c>
      <c r="O31" s="14">
        <f>('FY 2021 Sales by Region Report'!O33)/1000000</f>
        <v>1.0419999998807907E-4</v>
      </c>
      <c r="P31" s="19">
        <f>('FY 2021 Sales by Region Report'!P33)/1000000</f>
        <v>130.10135382999999</v>
      </c>
    </row>
    <row r="32" spans="1:16" x14ac:dyDescent="0.25">
      <c r="A32" s="11" t="s">
        <v>25</v>
      </c>
      <c r="B32" s="18">
        <f>('FY 2021 Sales by Region Report'!B34)/1000000</f>
        <v>56.872145310000001</v>
      </c>
      <c r="C32" s="18">
        <f>('FY 2021 Sales by Region Report'!C34)/1000000</f>
        <v>2.0028920800000001</v>
      </c>
      <c r="D32" s="18">
        <f>('FY 2021 Sales by Region Report'!D34)/1000000</f>
        <v>0</v>
      </c>
      <c r="E32" s="18">
        <f>('FY 2021 Sales by Region Report'!E34)/1000000</f>
        <v>4.3702197199999997</v>
      </c>
      <c r="F32" s="18">
        <f>('FY 2021 Sales by Region Report'!F34)/1000000</f>
        <v>-8.6260799999999995E-3</v>
      </c>
      <c r="G32" s="18">
        <f>('FY 2021 Sales by Region Report'!G34)/1000000</f>
        <v>0.20080799999999999</v>
      </c>
      <c r="H32" s="19">
        <f>('FY 2021 Sales by Region Report'!H34)/1000000</f>
        <v>63.43743903</v>
      </c>
      <c r="I32" s="2">
        <v>0</v>
      </c>
      <c r="J32" s="9">
        <f>('FY 2021 Sales by Region Report'!J34)/1000000</f>
        <v>75.61008228</v>
      </c>
      <c r="K32" s="9">
        <f>('FY 2021 Sales by Region Report'!K34)/1000000</f>
        <v>2.4386624399999999</v>
      </c>
      <c r="L32" s="9">
        <f>('FY 2021 Sales by Region Report'!L34)/1000000</f>
        <v>0</v>
      </c>
      <c r="M32" s="9">
        <f>('FY 2021 Sales by Region Report'!M34)/1000000</f>
        <v>4.7401231799999994</v>
      </c>
      <c r="N32" s="9">
        <f>('FY 2021 Sales by Region Report'!N34)/1000000</f>
        <v>0.36235171999999999</v>
      </c>
      <c r="O32" s="9">
        <f>('FY 2021 Sales by Region Report'!O34)/1000000</f>
        <v>0.25080732999999822</v>
      </c>
      <c r="P32" s="19">
        <f>('FY 2021 Sales by Region Report'!P34)/1000000</f>
        <v>83.402026950000007</v>
      </c>
    </row>
    <row r="33" spans="1:16" ht="14" x14ac:dyDescent="0.25">
      <c r="A33" s="8" t="s">
        <v>47</v>
      </c>
      <c r="B33" s="18">
        <f>('FY 2021 Sales by Region Report'!B35)/1000000</f>
        <v>-0.72879455000001192</v>
      </c>
      <c r="C33" s="18">
        <f>('FY 2021 Sales by Region Report'!C35)/1000000</f>
        <v>18.093369090000003</v>
      </c>
      <c r="D33" s="18">
        <f>('FY 2021 Sales by Region Report'!D35)/1000000</f>
        <v>0</v>
      </c>
      <c r="E33" s="18">
        <f>('FY 2021 Sales by Region Report'!E35)/1000000</f>
        <v>1.7082905699999928</v>
      </c>
      <c r="F33" s="18">
        <f>('FY 2021 Sales by Region Report'!F35)/1000000</f>
        <v>6.0937917400000243</v>
      </c>
      <c r="G33" s="18">
        <f>('FY 2021 Sales by Region Report'!G35)/1000000</f>
        <v>0</v>
      </c>
      <c r="H33" s="19">
        <f>('FY 2021 Sales by Region Report'!H35)/1000000</f>
        <v>25.166656850000024</v>
      </c>
      <c r="I33" s="2">
        <v>0</v>
      </c>
      <c r="J33" s="9">
        <f>('FY 2021 Sales by Region Report'!J35)/1000000</f>
        <v>3.0755769800000192</v>
      </c>
      <c r="K33" s="9">
        <f>('FY 2021 Sales by Region Report'!K35)/1000000</f>
        <v>24.734648680000006</v>
      </c>
      <c r="L33" s="9">
        <f>('FY 2021 Sales by Region Report'!L35)/1000000</f>
        <v>2.9802322387695311E-14</v>
      </c>
      <c r="M33" s="9">
        <f>('FY 2021 Sales by Region Report'!M35)/1000000</f>
        <v>1.7514649699999989</v>
      </c>
      <c r="N33" s="9">
        <f>('FY 2021 Sales by Region Report'!N35)/1000000</f>
        <v>5.1534007999999822</v>
      </c>
      <c r="O33" s="9">
        <f>('FY 2021 Sales by Region Report'!O35)/1000000</f>
        <v>-1.5899998843669891E-6</v>
      </c>
      <c r="P33" s="19">
        <f>('FY 2021 Sales by Region Report'!P35)/1000000</f>
        <v>34.715089840000154</v>
      </c>
    </row>
    <row r="34" spans="1:16" x14ac:dyDescent="0.25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5">
      <c r="A35" s="8" t="s">
        <v>26</v>
      </c>
      <c r="B35" s="18">
        <f>('FY 2021 Sales by Region Report'!B37)/1000000</f>
        <v>-1.4999999999999999E-4</v>
      </c>
      <c r="C35" s="18">
        <f>('FY 2021 Sales by Region Report'!C37)/1000000</f>
        <v>46.168581209999999</v>
      </c>
      <c r="D35" s="18">
        <f>('FY 2021 Sales by Region Report'!D37)/1000000</f>
        <v>40.776814799999997</v>
      </c>
      <c r="E35" s="18">
        <f>('FY 2021 Sales by Region Report'!E37)/1000000</f>
        <v>66.56182905</v>
      </c>
      <c r="F35" s="18">
        <f>('FY 2021 Sales by Region Report'!F37)/1000000</f>
        <v>90.351973980000011</v>
      </c>
      <c r="G35" s="18">
        <f>('FY 2021 Sales by Region Report'!G37)/1000000</f>
        <v>0</v>
      </c>
      <c r="H35" s="19">
        <f>('FY 2021 Sales by Region Report'!H37)/1000000</f>
        <v>243.85904904</v>
      </c>
      <c r="I35" s="2">
        <v>0</v>
      </c>
      <c r="J35" s="9">
        <f>('FY 2021 Sales by Region Report'!J37)/1000000</f>
        <v>0</v>
      </c>
      <c r="K35" s="9">
        <f>('FY 2021 Sales by Region Report'!K37)/1000000</f>
        <v>57.922512709999999</v>
      </c>
      <c r="L35" s="9">
        <f>('FY 2021 Sales by Region Report'!L37)/1000000</f>
        <v>49.047895250000003</v>
      </c>
      <c r="M35" s="9">
        <f>('FY 2021 Sales by Region Report'!M37)/1000000</f>
        <v>61.186555810000002</v>
      </c>
      <c r="N35" s="9">
        <f>('FY 2021 Sales by Region Report'!N37)/1000000</f>
        <v>89.53428246</v>
      </c>
      <c r="O35" s="9">
        <f>('FY 2021 Sales by Region Report'!O37)/1000000</f>
        <v>-9.875000002980232E-5</v>
      </c>
      <c r="P35" s="19">
        <f>('FY 2021 Sales by Region Report'!P37)/1000000</f>
        <v>257.69114747999998</v>
      </c>
    </row>
    <row r="36" spans="1:16" x14ac:dyDescent="0.25">
      <c r="A36" s="8" t="s">
        <v>27</v>
      </c>
      <c r="B36" s="18">
        <f>('FY 2021 Sales by Region Report'!B38)/1000000</f>
        <v>3.5469569399999998</v>
      </c>
      <c r="C36" s="18">
        <f>('FY 2021 Sales by Region Report'!C38)/1000000</f>
        <v>45.806951240000004</v>
      </c>
      <c r="D36" s="18">
        <f>('FY 2021 Sales by Region Report'!D38)/1000000</f>
        <v>66.66117448</v>
      </c>
      <c r="E36" s="18">
        <f>('FY 2021 Sales by Region Report'!E38)/1000000</f>
        <v>42.358751060000003</v>
      </c>
      <c r="F36" s="18">
        <f>('FY 2021 Sales by Region Report'!F38)/1000000</f>
        <v>17.03296971</v>
      </c>
      <c r="G36" s="18">
        <f>('FY 2021 Sales by Region Report'!G38)/1000000</f>
        <v>0</v>
      </c>
      <c r="H36" s="19">
        <f>('FY 2021 Sales by Region Report'!H38)/1000000</f>
        <v>175.40680343</v>
      </c>
      <c r="I36" s="2">
        <v>0</v>
      </c>
      <c r="J36" s="9">
        <f>('FY 2021 Sales by Region Report'!J38)/1000000</f>
        <v>3.7320029700000004</v>
      </c>
      <c r="K36" s="9">
        <f>('FY 2021 Sales by Region Report'!K38)/1000000</f>
        <v>61.28244376</v>
      </c>
      <c r="L36" s="9">
        <f>('FY 2021 Sales by Region Report'!L38)/1000000</f>
        <v>54.184843409999999</v>
      </c>
      <c r="M36" s="9">
        <f>('FY 2021 Sales by Region Report'!M38)/1000000</f>
        <v>43.469900520000003</v>
      </c>
      <c r="N36" s="9">
        <f>('FY 2021 Sales by Region Report'!N38)/1000000</f>
        <v>16.920977530000002</v>
      </c>
      <c r="O36" s="9">
        <f>('FY 2021 Sales by Region Report'!O38)/1000000</f>
        <v>6.6780000001192088E-5</v>
      </c>
      <c r="P36" s="19">
        <f>('FY 2021 Sales by Region Report'!P38)/1000000</f>
        <v>179.59023497000001</v>
      </c>
    </row>
    <row r="37" spans="1:16" x14ac:dyDescent="0.25">
      <c r="A37" s="8" t="s">
        <v>28</v>
      </c>
      <c r="B37" s="18">
        <f>('FY 2021 Sales by Region Report'!B39)/1000000</f>
        <v>0</v>
      </c>
      <c r="C37" s="18">
        <f>('FY 2021 Sales by Region Report'!C39)/1000000</f>
        <v>2.9095525499999999</v>
      </c>
      <c r="D37" s="18">
        <f>('FY 2021 Sales by Region Report'!D39)/1000000</f>
        <v>26.402459069999999</v>
      </c>
      <c r="E37" s="18">
        <f>('FY 2021 Sales by Region Report'!E39)/1000000</f>
        <v>24.666101059999999</v>
      </c>
      <c r="F37" s="18">
        <f>('FY 2021 Sales by Region Report'!F39)/1000000</f>
        <v>71.046591169999999</v>
      </c>
      <c r="G37" s="18">
        <f>('FY 2021 Sales by Region Report'!G39)/1000000</f>
        <v>0</v>
      </c>
      <c r="H37" s="19">
        <f>('FY 2021 Sales by Region Report'!H39)/1000000</f>
        <v>125.02470384999999</v>
      </c>
      <c r="I37" s="2">
        <v>0</v>
      </c>
      <c r="J37" s="9">
        <f>('FY 2021 Sales by Region Report'!J39)/1000000</f>
        <v>0</v>
      </c>
      <c r="K37" s="9">
        <f>('FY 2021 Sales by Region Report'!K39)/1000000</f>
        <v>3.8952653599999998</v>
      </c>
      <c r="L37" s="9">
        <f>('FY 2021 Sales by Region Report'!L39)/1000000</f>
        <v>21.042279749999999</v>
      </c>
      <c r="M37" s="9">
        <f>('FY 2021 Sales by Region Report'!M39)/1000000</f>
        <v>22.722180179999999</v>
      </c>
      <c r="N37" s="9">
        <f>('FY 2021 Sales by Region Report'!N39)/1000000</f>
        <v>70.480857470000004</v>
      </c>
      <c r="O37" s="9">
        <f>('FY 2021 Sales by Region Report'!O39)/1000000</f>
        <v>5.5050000011920928E-5</v>
      </c>
      <c r="P37" s="19">
        <f>('FY 2021 Sales by Region Report'!P39)/1000000</f>
        <v>118.14063781</v>
      </c>
    </row>
    <row r="38" spans="1:16" x14ac:dyDescent="0.25">
      <c r="A38" s="11" t="s">
        <v>29</v>
      </c>
      <c r="B38" s="18">
        <f>('FY 2021 Sales by Region Report'!B40)/1000000</f>
        <v>1.3921554599999999</v>
      </c>
      <c r="C38" s="18">
        <f>('FY 2021 Sales by Region Report'!C40)/1000000</f>
        <v>23.283768579999997</v>
      </c>
      <c r="D38" s="18">
        <f>('FY 2021 Sales by Region Report'!D40)/1000000</f>
        <v>0</v>
      </c>
      <c r="E38" s="18">
        <f>('FY 2021 Sales by Region Report'!E40)/1000000</f>
        <v>54.136888859999999</v>
      </c>
      <c r="F38" s="18">
        <f>('FY 2021 Sales by Region Report'!F40)/1000000</f>
        <v>8.2704649799999999</v>
      </c>
      <c r="G38" s="18">
        <f>('FY 2021 Sales by Region Report'!G40)/1000000</f>
        <v>0</v>
      </c>
      <c r="H38" s="19">
        <f>('FY 2021 Sales by Region Report'!H40)/1000000</f>
        <v>87.083277879999997</v>
      </c>
      <c r="I38" s="2">
        <v>0</v>
      </c>
      <c r="J38" s="9">
        <f>('FY 2021 Sales by Region Report'!J40)/1000000</f>
        <v>1.1418917500000001</v>
      </c>
      <c r="K38" s="9">
        <f>('FY 2021 Sales by Region Report'!K40)/1000000</f>
        <v>21.09151628</v>
      </c>
      <c r="L38" s="9">
        <f>('FY 2021 Sales by Region Report'!L40)/1000000</f>
        <v>0</v>
      </c>
      <c r="M38" s="9">
        <f>('FY 2021 Sales by Region Report'!M40)/1000000</f>
        <v>52.332490159999999</v>
      </c>
      <c r="N38" s="9">
        <f>('FY 2021 Sales by Region Report'!N40)/1000000</f>
        <v>8.3045888600000008</v>
      </c>
      <c r="O38" s="9">
        <f>('FY 2021 Sales by Region Report'!O40)/1000000</f>
        <v>7.4240000009536745E-5</v>
      </c>
      <c r="P38" s="19">
        <f>('FY 2021 Sales by Region Report'!P40)/1000000</f>
        <v>82.870561290000012</v>
      </c>
    </row>
    <row r="39" spans="1:16" s="12" customFormat="1" ht="14" x14ac:dyDescent="0.25">
      <c r="A39" s="11" t="s">
        <v>46</v>
      </c>
      <c r="B39" s="18">
        <f>('FY 2021 Sales by Region Report'!B41)/1000000</f>
        <v>15.40346106</v>
      </c>
      <c r="C39" s="18">
        <f>('FY 2021 Sales by Region Report'!C41)/1000000</f>
        <v>29.987635796793715</v>
      </c>
      <c r="D39" s="18">
        <f>('FY 2021 Sales by Region Report'!D41)/1000000</f>
        <v>0</v>
      </c>
      <c r="E39" s="18">
        <f>('FY 2021 Sales by Region Report'!E41)/1000000</f>
        <v>109.01410324999998</v>
      </c>
      <c r="F39" s="18">
        <f>('FY 2021 Sales by Region Report'!F41)/1000000</f>
        <v>44.189109789999989</v>
      </c>
      <c r="G39" s="18">
        <f>('FY 2021 Sales by Region Report'!G41)/1000000</f>
        <v>0</v>
      </c>
      <c r="H39" s="19">
        <f>('FY 2021 Sales by Region Report'!H41)/1000000</f>
        <v>198.59430989679362</v>
      </c>
      <c r="I39" s="12">
        <v>0</v>
      </c>
      <c r="J39" s="9">
        <f>('FY 2021 Sales by Region Report'!J41)/1000000</f>
        <v>9.1477568699999985</v>
      </c>
      <c r="K39" s="9">
        <f>('FY 2021 Sales by Region Report'!K41)/1000000</f>
        <v>30.159255099999996</v>
      </c>
      <c r="L39" s="9">
        <f>('FY 2021 Sales by Region Report'!L41)/1000000</f>
        <v>0</v>
      </c>
      <c r="M39" s="9">
        <f>('FY 2021 Sales by Region Report'!M41)/1000000</f>
        <v>107.53368606000001</v>
      </c>
      <c r="N39" s="9">
        <f>('FY 2021 Sales by Region Report'!N41)/1000000</f>
        <v>47.90762680000001</v>
      </c>
      <c r="O39" s="9">
        <f>('FY 2021 Sales by Region Report'!O41)/1000000</f>
        <v>1.6924000003933906E-4</v>
      </c>
      <c r="P39" s="19">
        <f>('FY 2021 Sales by Region Report'!P41)/1000000</f>
        <v>194.74849407000005</v>
      </c>
    </row>
    <row r="40" spans="1:16" s="12" customFormat="1" x14ac:dyDescent="0.25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5">
      <c r="A41" s="8" t="s">
        <v>30</v>
      </c>
      <c r="B41" s="18">
        <f>('FY 2021 Sales by Region Report'!B43)/1000000</f>
        <v>1.3594404</v>
      </c>
      <c r="C41" s="18">
        <f>('FY 2021 Sales by Region Report'!C43)/1000000</f>
        <v>14.960587210000002</v>
      </c>
      <c r="D41" s="18">
        <f>('FY 2021 Sales by Region Report'!D43)/1000000</f>
        <v>85.78131329</v>
      </c>
      <c r="E41" s="18">
        <f>('FY 2021 Sales by Region Report'!E43)/1000000</f>
        <v>11.81919459</v>
      </c>
      <c r="F41" s="18">
        <f>('FY 2021 Sales by Region Report'!F43)/1000000</f>
        <v>3.5781825199999999</v>
      </c>
      <c r="G41" s="18">
        <f>('FY 2021 Sales by Region Report'!G43)/1000000</f>
        <v>0</v>
      </c>
      <c r="H41" s="19">
        <f>('FY 2021 Sales by Region Report'!H43)/1000000</f>
        <v>117.49871801</v>
      </c>
      <c r="I41" s="2">
        <v>0</v>
      </c>
      <c r="J41" s="9">
        <f>('FY 2021 Sales by Region Report'!J43)/1000000</f>
        <v>1.6801078700000001</v>
      </c>
      <c r="K41" s="9">
        <f>('FY 2021 Sales by Region Report'!K43)/1000000</f>
        <v>18.268184609999999</v>
      </c>
      <c r="L41" s="9">
        <f>('FY 2021 Sales by Region Report'!L43)/1000000</f>
        <v>139.49186627</v>
      </c>
      <c r="M41" s="9">
        <f>('FY 2021 Sales by Region Report'!M43)/1000000</f>
        <v>13.173600310000001</v>
      </c>
      <c r="N41" s="9">
        <f>('FY 2021 Sales by Region Report'!N43)/1000000</f>
        <v>3.1444141499999998</v>
      </c>
      <c r="O41" s="9">
        <f>('FY 2021 Sales by Region Report'!O43)/1000000</f>
        <v>4.3039999991655351E-5</v>
      </c>
      <c r="P41" s="19">
        <f>('FY 2021 Sales by Region Report'!P43)/1000000</f>
        <v>175.75821625</v>
      </c>
    </row>
    <row r="42" spans="1:16" x14ac:dyDescent="0.25">
      <c r="A42" s="8" t="s">
        <v>31</v>
      </c>
      <c r="B42" s="18">
        <f>('FY 2021 Sales by Region Report'!B44)/1000000</f>
        <v>9.3778881999999992</v>
      </c>
      <c r="C42" s="18">
        <f>('FY 2021 Sales by Region Report'!C44)/1000000</f>
        <v>65.135198939999995</v>
      </c>
      <c r="D42" s="18">
        <f>('FY 2021 Sales by Region Report'!D44)/1000000</f>
        <v>45.011956659999996</v>
      </c>
      <c r="E42" s="18">
        <f>('FY 2021 Sales by Region Report'!E44)/1000000</f>
        <v>12.968415449999998</v>
      </c>
      <c r="F42" s="18">
        <f>('FY 2021 Sales by Region Report'!F44)/1000000</f>
        <v>3.8469749700000002</v>
      </c>
      <c r="G42" s="18">
        <f>('FY 2021 Sales by Region Report'!G44)/1000000</f>
        <v>0</v>
      </c>
      <c r="H42" s="19">
        <f>('FY 2021 Sales by Region Report'!H44)/1000000</f>
        <v>136.34043421999999</v>
      </c>
      <c r="I42" s="2">
        <v>0</v>
      </c>
      <c r="J42" s="9">
        <f>('FY 2021 Sales by Region Report'!J44)/1000000</f>
        <v>9.8935672599999993</v>
      </c>
      <c r="K42" s="9">
        <f>('FY 2021 Sales by Region Report'!K44)/1000000</f>
        <v>71.035560269999991</v>
      </c>
      <c r="L42" s="9">
        <f>('FY 2021 Sales by Region Report'!L44)/1000000</f>
        <v>31.86225932</v>
      </c>
      <c r="M42" s="9">
        <f>('FY 2021 Sales by Region Report'!M44)/1000000</f>
        <v>13.1518888</v>
      </c>
      <c r="N42" s="9">
        <f>('FY 2021 Sales by Region Report'!N44)/1000000</f>
        <v>3.3076267499999998</v>
      </c>
      <c r="O42" s="9">
        <f>('FY 2021 Sales by Region Report'!O44)/1000000</f>
        <v>3.8000000014901162E-5</v>
      </c>
      <c r="P42" s="19">
        <f>('FY 2021 Sales by Region Report'!P44)/1000000</f>
        <v>129.25094040000002</v>
      </c>
    </row>
    <row r="43" spans="1:16" x14ac:dyDescent="0.25">
      <c r="A43" s="8" t="s">
        <v>33</v>
      </c>
      <c r="B43" s="18">
        <f>('FY 2021 Sales by Region Report'!B45)/1000000</f>
        <v>0.41518804999999998</v>
      </c>
      <c r="C43" s="18">
        <f>('FY 2021 Sales by Region Report'!C45)/1000000</f>
        <v>13.49600534</v>
      </c>
      <c r="D43" s="18">
        <f>('FY 2021 Sales by Region Report'!D45)/1000000</f>
        <v>1.05604151</v>
      </c>
      <c r="E43" s="18">
        <f>('FY 2021 Sales by Region Report'!E45)/1000000</f>
        <v>53.542249009999999</v>
      </c>
      <c r="F43" s="18">
        <f>('FY 2021 Sales by Region Report'!F45)/1000000</f>
        <v>2.8838263999999998</v>
      </c>
      <c r="G43" s="18">
        <f>('FY 2021 Sales by Region Report'!G45)/1000000</f>
        <v>0</v>
      </c>
      <c r="H43" s="19">
        <f>('FY 2021 Sales by Region Report'!H45)/1000000</f>
        <v>71.393310310000004</v>
      </c>
      <c r="I43" s="2">
        <v>0</v>
      </c>
      <c r="J43" s="9">
        <f>('FY 2021 Sales by Region Report'!J45)/1000000</f>
        <v>-0.57595028000000004</v>
      </c>
      <c r="K43" s="9">
        <f>('FY 2021 Sales by Region Report'!K45)/1000000</f>
        <v>15.122826810000001</v>
      </c>
      <c r="L43" s="9">
        <f>('FY 2021 Sales by Region Report'!L45)/1000000</f>
        <v>3.53238406</v>
      </c>
      <c r="M43" s="9">
        <f>('FY 2021 Sales by Region Report'!M45)/1000000</f>
        <v>54.890588569999998</v>
      </c>
      <c r="N43" s="9">
        <f>('FY 2021 Sales by Region Report'!N45)/1000000</f>
        <v>4.3222405999999998</v>
      </c>
      <c r="O43" s="9">
        <f>('FY 2021 Sales by Region Report'!O45)/1000000</f>
        <v>3.5700000002980235E-5</v>
      </c>
      <c r="P43" s="19">
        <f>('FY 2021 Sales by Region Report'!P45)/1000000</f>
        <v>77.292125459999994</v>
      </c>
    </row>
    <row r="44" spans="1:16" x14ac:dyDescent="0.25">
      <c r="A44" s="8" t="s">
        <v>32</v>
      </c>
      <c r="B44" s="18">
        <f>('FY 2021 Sales by Region Report'!B46)/1000000</f>
        <v>3.1980352200000004</v>
      </c>
      <c r="C44" s="18">
        <f>('FY 2021 Sales by Region Report'!C46)/1000000</f>
        <v>15.728368939999999</v>
      </c>
      <c r="D44" s="18">
        <f>('FY 2021 Sales by Region Report'!D46)/1000000</f>
        <v>18.745266340000001</v>
      </c>
      <c r="E44" s="18">
        <f>('FY 2021 Sales by Region Report'!E46)/1000000</f>
        <v>20.044235559999997</v>
      </c>
      <c r="F44" s="18">
        <f>('FY 2021 Sales by Region Report'!F46)/1000000</f>
        <v>7.8366173699999999</v>
      </c>
      <c r="G44" s="18">
        <f>('FY 2021 Sales by Region Report'!G46)/1000000</f>
        <v>0</v>
      </c>
      <c r="H44" s="19">
        <f>('FY 2021 Sales by Region Report'!H46)/1000000</f>
        <v>65.552523429999994</v>
      </c>
      <c r="I44" s="2">
        <v>0</v>
      </c>
      <c r="J44" s="9">
        <f>('FY 2021 Sales by Region Report'!J46)/1000000</f>
        <v>2.1372391800000003</v>
      </c>
      <c r="K44" s="9">
        <f>('FY 2021 Sales by Region Report'!K46)/1000000</f>
        <v>18.358173390000001</v>
      </c>
      <c r="L44" s="9">
        <f>('FY 2021 Sales by Region Report'!L46)/1000000</f>
        <v>14.734541980000001</v>
      </c>
      <c r="M44" s="9">
        <f>('FY 2021 Sales by Region Report'!M46)/1000000</f>
        <v>20.624161920000002</v>
      </c>
      <c r="N44" s="9">
        <f>('FY 2021 Sales by Region Report'!N46)/1000000</f>
        <v>7.7315045900000001</v>
      </c>
      <c r="O44" s="9">
        <f>('FY 2021 Sales by Region Report'!O46)/1000000</f>
        <v>4.9099999994039538E-5</v>
      </c>
      <c r="P44" s="19">
        <f>('FY 2021 Sales by Region Report'!P46)/1000000</f>
        <v>63.585670159999999</v>
      </c>
    </row>
    <row r="45" spans="1:16" s="12" customFormat="1" ht="14" x14ac:dyDescent="0.25">
      <c r="A45" s="11" t="s">
        <v>44</v>
      </c>
      <c r="B45" s="18">
        <f>('FY 2021 Sales by Region Report'!B47)/1000000</f>
        <v>37.342172170000005</v>
      </c>
      <c r="C45" s="18">
        <f>('FY 2021 Sales by Region Report'!C47)/1000000</f>
        <v>38.889008733028888</v>
      </c>
      <c r="D45" s="18">
        <f>('FY 2021 Sales by Region Report'!D47)/1000000</f>
        <v>6.1086118599999848</v>
      </c>
      <c r="E45" s="18">
        <f>('FY 2021 Sales by Region Report'!E47)/1000000</f>
        <v>122.91626145999999</v>
      </c>
      <c r="F45" s="18">
        <f>('FY 2021 Sales by Region Report'!F47)/1000000</f>
        <v>17.936986499999996</v>
      </c>
      <c r="G45" s="18">
        <f>('FY 2021 Sales by Region Report'!G47)/1000000</f>
        <v>-0.4466528400000036</v>
      </c>
      <c r="H45" s="19">
        <f>('FY 2021 Sales by Region Report'!H47)/1000000</f>
        <v>222.74638788302886</v>
      </c>
      <c r="I45" s="12">
        <v>0</v>
      </c>
      <c r="J45" s="9">
        <f>('FY 2021 Sales by Region Report'!J47)/1000000</f>
        <v>52.712419509999997</v>
      </c>
      <c r="K45" s="9">
        <f>('FY 2021 Sales by Region Report'!K47)/1000000</f>
        <v>52.1046847</v>
      </c>
      <c r="L45" s="9">
        <f>('FY 2021 Sales by Region Report'!L47)/1000000</f>
        <v>4.1543349399999974</v>
      </c>
      <c r="M45" s="9">
        <f>('FY 2021 Sales by Region Report'!M47)/1000000</f>
        <v>107.65370445000001</v>
      </c>
      <c r="N45" s="9">
        <f>('FY 2021 Sales by Region Report'!N47)/1000000</f>
        <v>16.128549410000002</v>
      </c>
      <c r="O45" s="9">
        <f>('FY 2021 Sales by Region Report'!O47)/1000000</f>
        <v>4.5595470600000318</v>
      </c>
      <c r="P45" s="19">
        <f>('FY 2021 Sales by Region Report'!P47)/1000000</f>
        <v>237.31324007000006</v>
      </c>
    </row>
    <row r="46" spans="1:16" s="12" customFormat="1" ht="14" x14ac:dyDescent="0.25">
      <c r="A46" s="16" t="s">
        <v>45</v>
      </c>
      <c r="B46" s="18">
        <f>('FY 2021 Sales by Region Report'!B50+'FY 2021 Sales by Region Report'!B52)/1000000</f>
        <v>-4.5223739800000002</v>
      </c>
      <c r="C46" s="18">
        <f>('FY 2021 Sales by Region Report'!C50+'FY 2021 Sales by Region Report'!C52)/1000000</f>
        <v>-2.0414612268099999E-2</v>
      </c>
      <c r="D46" s="18">
        <f>('FY 2021 Sales by Region Report'!D50+'FY 2021 Sales by Region Report'!D52)/1000000</f>
        <v>-2E-8</v>
      </c>
      <c r="E46" s="18">
        <f>('FY 2021 Sales by Region Report'!E50+'FY 2021 Sales by Region Report'!E52)/1000000</f>
        <v>-26.259413930000001</v>
      </c>
      <c r="F46" s="18">
        <f>('FY 2021 Sales by Region Report'!F50+'FY 2021 Sales by Region Report'!F52)/1000000</f>
        <v>-1.62922473</v>
      </c>
      <c r="G46" s="18">
        <f>('FY 2021 Sales by Region Report'!G50+'FY 2021 Sales by Region Report'!G52)/1000000</f>
        <v>233.30752876337169</v>
      </c>
      <c r="H46" s="19">
        <f>('FY 2021 Sales by Region Report'!H50+'FY 2021 Sales by Region Report'!H52)/1000000</f>
        <v>200.87610149110358</v>
      </c>
      <c r="I46" s="12">
        <v>0</v>
      </c>
      <c r="J46" s="9">
        <f>('FY 2021 Sales by Region Report'!J50+'FY 2021 Sales by Region Report'!J52)/1000000</f>
        <v>3.79515263</v>
      </c>
      <c r="K46" s="9">
        <f>('FY 2021 Sales by Region Report'!K50+'FY 2021 Sales by Region Report'!K52)/1000000</f>
        <v>1.0258752199999999</v>
      </c>
      <c r="L46" s="9">
        <f>('FY 2021 Sales by Region Report'!L50+'FY 2021 Sales by Region Report'!L52)/1000000</f>
        <v>0</v>
      </c>
      <c r="M46" s="9">
        <f>('FY 2021 Sales by Region Report'!M50+'FY 2021 Sales by Region Report'!M52)/1000000</f>
        <v>-25.219081859999999</v>
      </c>
      <c r="N46" s="9">
        <f>('FY 2021 Sales by Region Report'!N50+'FY 2021 Sales by Region Report'!N52)/1000000</f>
        <v>-0.27249983</v>
      </c>
      <c r="O46" s="9">
        <f>('FY 2021 Sales by Region Report'!O50+'FY 2021 Sales by Region Report'!O52)/1000000</f>
        <v>128.1407552</v>
      </c>
      <c r="P46" s="19">
        <f>('FY 2021 Sales by Region Report'!P50+'FY 2021 Sales by Region Report'!P52)/1000000</f>
        <v>107.47020136</v>
      </c>
    </row>
    <row r="47" spans="1:16" ht="12" thickBot="1" x14ac:dyDescent="0.3">
      <c r="A47" s="1" t="s">
        <v>40</v>
      </c>
      <c r="B47" s="28">
        <f>('FY 2021 Sales by Region Report'!B53)/1000000</f>
        <v>1382.6152072899999</v>
      </c>
      <c r="C47" s="28">
        <f>('FY 2021 Sales by Region Report'!C53)/1000000</f>
        <v>1172.6687934590423</v>
      </c>
      <c r="D47" s="28">
        <f>('FY 2021 Sales by Region Report'!D53)/1000000</f>
        <v>932.87674865999998</v>
      </c>
      <c r="E47" s="28">
        <f>('FY 2021 Sales by Region Report'!E53)/1000000</f>
        <v>1741.2112833399999</v>
      </c>
      <c r="F47" s="28">
        <f>('FY 2021 Sales by Region Report'!F53)/1000000</f>
        <v>840.65437330999998</v>
      </c>
      <c r="G47" s="28">
        <f>('FY 2021 Sales by Region Report'!G53)/1000000</f>
        <v>234.35407207337283</v>
      </c>
      <c r="H47" s="29">
        <f>('FY 2021 Sales by Region Report'!H53)/1000000</f>
        <v>6304.3804781324152</v>
      </c>
      <c r="I47" s="30">
        <v>0</v>
      </c>
      <c r="J47" s="28">
        <f>('FY 2021 Sales by Region Report'!J53)/1000000</f>
        <v>1408.29940902</v>
      </c>
      <c r="K47" s="28">
        <f>('FY 2021 Sales by Region Report'!K53)/1000000</f>
        <v>1535.0885722799999</v>
      </c>
      <c r="L47" s="28">
        <f>('FY 2021 Sales by Region Report'!L53)/1000000</f>
        <v>872.99260185000003</v>
      </c>
      <c r="M47" s="28">
        <f>('FY 2021 Sales by Region Report'!M53)/1000000</f>
        <v>1725.99803004</v>
      </c>
      <c r="N47" s="28">
        <f>('FY 2021 Sales by Region Report'!N53)/1000000</f>
        <v>857.14144944000009</v>
      </c>
      <c r="O47" s="28">
        <f>('FY 2021 Sales by Region Report'!O53)/1000000</f>
        <v>132.92073429999922</v>
      </c>
      <c r="P47" s="29">
        <f>('FY 2021 Sales by Region Report'!P53)/1000000</f>
        <v>6532.44079693</v>
      </c>
    </row>
    <row r="48" spans="1:16" ht="12" thickTop="1" x14ac:dyDescent="0.25"/>
    <row r="49" spans="1:1" x14ac:dyDescent="0.25">
      <c r="A49" s="17" t="s">
        <v>41</v>
      </c>
    </row>
    <row r="50" spans="1:1" ht="14" x14ac:dyDescent="0.25">
      <c r="A50" s="17" t="s">
        <v>42</v>
      </c>
    </row>
    <row r="51" spans="1:1" ht="14" x14ac:dyDescent="0.25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69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507F-8BD5-4653-89DB-145816C11960}">
  <sheetPr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61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90">
        <v>2021</v>
      </c>
      <c r="C4" s="90"/>
      <c r="D4" s="90"/>
      <c r="E4" s="90"/>
      <c r="F4" s="90"/>
      <c r="G4" s="90"/>
      <c r="H4" s="90"/>
      <c r="J4" s="88">
        <v>2020</v>
      </c>
      <c r="K4" s="88"/>
      <c r="L4" s="88"/>
      <c r="M4" s="88"/>
      <c r="N4" s="88"/>
      <c r="O4" s="88"/>
      <c r="P4" s="88"/>
    </row>
    <row r="5" spans="1:16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f>('4Q 2021 Sales by Region Report'!B10)/1000000</f>
        <v>143.32799691</v>
      </c>
      <c r="C7" s="22">
        <f>('4Q 2021 Sales by Region Report'!C10)/1000000</f>
        <v>7.6802010899999997</v>
      </c>
      <c r="D7" s="22">
        <f>('4Q 2021 Sales by Region Report'!D10)/1000000</f>
        <v>9.3120300000000003E-2</v>
      </c>
      <c r="E7" s="22">
        <f>('4Q 2021 Sales by Region Report'!E10)/1000000</f>
        <v>23.394625899999998</v>
      </c>
      <c r="F7" s="22">
        <f>('4Q 2021 Sales by Region Report'!F10)/1000000</f>
        <v>51.750502800000007</v>
      </c>
      <c r="G7" s="22">
        <f>('4Q 2021 Sales by Region Report'!G10)/1000000</f>
        <v>0</v>
      </c>
      <c r="H7" s="23">
        <f>('4Q 2021 Sales by Region Report'!H10)/1000000</f>
        <v>226.24644699999999</v>
      </c>
      <c r="I7" s="24">
        <v>0</v>
      </c>
      <c r="J7" s="24">
        <f>('4Q 2021 Sales by Region Report'!J10)/1000000</f>
        <v>114.13333158</v>
      </c>
      <c r="K7" s="24">
        <f>('4Q 2021 Sales by Region Report'!K10)/1000000</f>
        <v>9.6345944299999999</v>
      </c>
      <c r="L7" s="24">
        <f>('4Q 2021 Sales by Region Report'!L10)/1000000</f>
        <v>6.261767E-2</v>
      </c>
      <c r="M7" s="24">
        <f>('4Q 2021 Sales by Region Report'!M10)/1000000</f>
        <v>23.47267343</v>
      </c>
      <c r="N7" s="24">
        <f>('4Q 2021 Sales by Region Report'!N10)/1000000</f>
        <v>17.253859690000002</v>
      </c>
      <c r="O7" s="24">
        <f>('4Q 2021 Sales by Region Report'!O10)/1000000</f>
        <v>2.6000002026557921E-7</v>
      </c>
      <c r="P7" s="23">
        <f>('4Q 2021 Sales by Region Report'!P10)/1000000</f>
        <v>164.55707706000001</v>
      </c>
    </row>
    <row r="8" spans="1:16" x14ac:dyDescent="0.25">
      <c r="A8" s="8" t="s">
        <v>9</v>
      </c>
      <c r="B8" s="18">
        <f>('4Q 2021 Sales by Region Report'!B11)/1000000</f>
        <v>29.203583890000001</v>
      </c>
      <c r="C8" s="18">
        <f>('4Q 2021 Sales by Region Report'!C11)/1000000</f>
        <v>5.4838212500000001</v>
      </c>
      <c r="D8" s="18">
        <f>('4Q 2021 Sales by Region Report'!D11)/1000000</f>
        <v>11.95400296</v>
      </c>
      <c r="E8" s="18">
        <f>('4Q 2021 Sales by Region Report'!E11)/1000000</f>
        <v>9.9303415500000014</v>
      </c>
      <c r="F8" s="18">
        <f>('4Q 2021 Sales by Region Report'!F11)/1000000</f>
        <v>2.87998727</v>
      </c>
      <c r="G8" s="18">
        <f>('4Q 2021 Sales by Region Report'!G11)/1000000</f>
        <v>0</v>
      </c>
      <c r="H8" s="19">
        <f>('4Q 2021 Sales by Region Report'!H11)/1000000</f>
        <v>59.451736920000002</v>
      </c>
      <c r="I8" s="2">
        <v>0</v>
      </c>
      <c r="J8" s="9">
        <f>('4Q 2021 Sales by Region Report'!J11)/1000000</f>
        <v>24.16449029</v>
      </c>
      <c r="K8" s="9">
        <f>('4Q 2021 Sales by Region Report'!K11)/1000000</f>
        <v>4.83431079</v>
      </c>
      <c r="L8" s="9">
        <f>('4Q 2021 Sales by Region Report'!L11)/1000000</f>
        <v>13.648800830000001</v>
      </c>
      <c r="M8" s="9">
        <f>('4Q 2021 Sales by Region Report'!M11)/1000000</f>
        <v>12.856387980000001</v>
      </c>
      <c r="N8" s="9">
        <f>('4Q 2021 Sales by Region Report'!N11)/1000000</f>
        <v>1.55676178</v>
      </c>
      <c r="O8" s="9">
        <f>('4Q 2021 Sales by Region Report'!O11)/1000000</f>
        <v>5.3999999910593038E-7</v>
      </c>
      <c r="P8" s="19">
        <f>('4Q 2021 Sales by Region Report'!P11)/1000000</f>
        <v>57.060752210000004</v>
      </c>
    </row>
    <row r="9" spans="1:16" x14ac:dyDescent="0.25">
      <c r="A9" s="8" t="s">
        <v>8</v>
      </c>
      <c r="B9" s="18">
        <f>('4Q 2021 Sales by Region Report'!B12)/1000000</f>
        <v>17.558678739999998</v>
      </c>
      <c r="C9" s="18">
        <f>('4Q 2021 Sales by Region Report'!C12)/1000000</f>
        <v>0.49786915999999998</v>
      </c>
      <c r="D9" s="18">
        <f>('4Q 2021 Sales by Region Report'!D12)/1000000</f>
        <v>0</v>
      </c>
      <c r="E9" s="18">
        <f>('4Q 2021 Sales by Region Report'!E12)/1000000</f>
        <v>17.10584446</v>
      </c>
      <c r="F9" s="18">
        <f>('4Q 2021 Sales by Region Report'!F12)/1000000</f>
        <v>8.9596404499999984</v>
      </c>
      <c r="G9" s="18">
        <f>('4Q 2021 Sales by Region Report'!G12)/1000000</f>
        <v>0</v>
      </c>
      <c r="H9" s="19">
        <f>('4Q 2021 Sales by Region Report'!H12)/1000000</f>
        <v>44.12203281</v>
      </c>
      <c r="I9" s="2">
        <v>0</v>
      </c>
      <c r="J9" s="9">
        <f>('4Q 2021 Sales by Region Report'!J12)/1000000</f>
        <v>24.96077296</v>
      </c>
      <c r="K9" s="9">
        <f>('4Q 2021 Sales by Region Report'!K12)/1000000</f>
        <v>0.66382253000000002</v>
      </c>
      <c r="L9" s="9">
        <f>('4Q 2021 Sales by Region Report'!L12)/1000000</f>
        <v>0</v>
      </c>
      <c r="M9" s="9">
        <f>('4Q 2021 Sales by Region Report'!M12)/1000000</f>
        <v>21.012215940000001</v>
      </c>
      <c r="N9" s="9">
        <f>('4Q 2021 Sales by Region Report'!N12)/1000000</f>
        <v>6.2942351299999997</v>
      </c>
      <c r="O9" s="9">
        <f>('4Q 2021 Sales by Region Report'!O12)/1000000</f>
        <v>4.9999989569187166E-8</v>
      </c>
      <c r="P9" s="19">
        <f>('4Q 2021 Sales by Region Report'!P12)/1000000</f>
        <v>52.931046610000003</v>
      </c>
    </row>
    <row r="10" spans="1:16" x14ac:dyDescent="0.25">
      <c r="A10" s="8" t="s">
        <v>52</v>
      </c>
      <c r="B10" s="18">
        <f>('4Q 2021 Sales by Region Report'!B13)/1000000</f>
        <v>3.4746735099999997</v>
      </c>
      <c r="C10" s="18">
        <f>('4Q 2021 Sales by Region Report'!C13)/1000000</f>
        <v>4.7491440199999992</v>
      </c>
      <c r="D10" s="18">
        <f>('4Q 2021 Sales by Region Report'!D13)/1000000</f>
        <v>4.4065365400000003</v>
      </c>
      <c r="E10" s="18">
        <f>('4Q 2021 Sales by Region Report'!E13)/1000000</f>
        <v>9.63271561</v>
      </c>
      <c r="F10" s="18">
        <f>('4Q 2021 Sales by Region Report'!F13)/1000000</f>
        <v>3.3185230699999999</v>
      </c>
      <c r="G10" s="18">
        <f>('4Q 2021 Sales by Region Report'!G13)/1000000</f>
        <v>0</v>
      </c>
      <c r="H10" s="19">
        <f>('4Q 2021 Sales by Region Report'!H13)/1000000</f>
        <v>25.581592749999999</v>
      </c>
      <c r="I10" s="2">
        <v>0</v>
      </c>
      <c r="J10" s="9">
        <f>('4Q 2021 Sales by Region Report'!J13)/1000000</f>
        <v>4.3198070700000004</v>
      </c>
      <c r="K10" s="9">
        <f>('4Q 2021 Sales by Region Report'!K13)/1000000</f>
        <v>5.4461347199999999</v>
      </c>
      <c r="L10" s="9">
        <f>('4Q 2021 Sales by Region Report'!L13)/1000000</f>
        <v>4.37719171</v>
      </c>
      <c r="M10" s="9">
        <f>('4Q 2021 Sales by Region Report'!M13)/1000000</f>
        <v>8.8010855299999999</v>
      </c>
      <c r="N10" s="9">
        <f>('4Q 2021 Sales by Region Report'!N13)/1000000</f>
        <v>2.11170678</v>
      </c>
      <c r="O10" s="9">
        <f>('4Q 2021 Sales by Region Report'!O13)/1000000</f>
        <v>5.699999965727329E-7</v>
      </c>
      <c r="P10" s="19">
        <f>('4Q 2021 Sales by Region Report'!P13)/1000000</f>
        <v>25.055926379999999</v>
      </c>
    </row>
    <row r="11" spans="1:16" x14ac:dyDescent="0.25">
      <c r="A11" s="8" t="s">
        <v>10</v>
      </c>
      <c r="B11" s="18">
        <f>('4Q 2021 Sales by Region Report'!B14)/1000000</f>
        <v>0</v>
      </c>
      <c r="C11" s="18">
        <f>('4Q 2021 Sales by Region Report'!C14)/1000000</f>
        <v>0.54677893</v>
      </c>
      <c r="D11" s="18">
        <f>('4Q 2021 Sales by Region Report'!D14)/1000000</f>
        <v>0</v>
      </c>
      <c r="E11" s="18">
        <f>('4Q 2021 Sales by Region Report'!E14)/1000000</f>
        <v>11.30908005</v>
      </c>
      <c r="F11" s="18">
        <f>('4Q 2021 Sales by Region Report'!F14)/1000000</f>
        <v>5.7603297099999997</v>
      </c>
      <c r="G11" s="18">
        <f>('4Q 2021 Sales by Region Report'!G14)/1000000</f>
        <v>0</v>
      </c>
      <c r="H11" s="19">
        <f>('4Q 2021 Sales by Region Report'!H14)/1000000</f>
        <v>17.616188690000001</v>
      </c>
      <c r="I11" s="2">
        <v>0</v>
      </c>
      <c r="J11" s="9">
        <f>('4Q 2021 Sales by Region Report'!J14)/1000000</f>
        <v>0</v>
      </c>
      <c r="K11" s="9">
        <f>('4Q 2021 Sales by Region Report'!K14)/1000000</f>
        <v>0.56803819999999994</v>
      </c>
      <c r="L11" s="9">
        <f>('4Q 2021 Sales by Region Report'!L14)/1000000</f>
        <v>0</v>
      </c>
      <c r="M11" s="9">
        <f>('4Q 2021 Sales by Region Report'!M14)/1000000</f>
        <v>11.49350744</v>
      </c>
      <c r="N11" s="9">
        <f>('4Q 2021 Sales by Region Report'!N14)/1000000</f>
        <v>3.8485431400000003</v>
      </c>
      <c r="O11" s="9">
        <f>('4Q 2021 Sales by Region Report'!O14)/1000000</f>
        <v>3.1000000052154063E-7</v>
      </c>
      <c r="P11" s="19">
        <f>('4Q 2021 Sales by Region Report'!P14)/1000000</f>
        <v>15.91008909</v>
      </c>
    </row>
    <row r="12" spans="1:16" s="12" customFormat="1" ht="14" x14ac:dyDescent="0.25">
      <c r="A12" s="11" t="s">
        <v>50</v>
      </c>
      <c r="B12" s="18">
        <f>('4Q 2021 Sales by Region Report'!B15)/1000000</f>
        <v>13.649050810000002</v>
      </c>
      <c r="C12" s="18">
        <f>('4Q 2021 Sales by Region Report'!C15)/1000000</f>
        <v>11.093328359999999</v>
      </c>
      <c r="D12" s="18">
        <f>('4Q 2021 Sales by Region Report'!D15)/1000000</f>
        <v>0</v>
      </c>
      <c r="E12" s="18">
        <f>('4Q 2021 Sales by Region Report'!E15)/1000000</f>
        <v>8.4749854200000012</v>
      </c>
      <c r="F12" s="18">
        <f>('4Q 2021 Sales by Region Report'!F15)/1000000</f>
        <v>8.7305025999999941</v>
      </c>
      <c r="G12" s="18">
        <f>('4Q 2021 Sales by Region Report'!G15)/1000000</f>
        <v>0</v>
      </c>
      <c r="H12" s="19">
        <f>('4Q 2021 Sales by Region Report'!H15)/1000000</f>
        <v>41.947867189999997</v>
      </c>
      <c r="I12" s="12">
        <v>0</v>
      </c>
      <c r="J12" s="9">
        <f>('4Q 2021 Sales by Region Report'!J15)/1000000</f>
        <v>44.790498829999983</v>
      </c>
      <c r="K12" s="9">
        <f>('4Q 2021 Sales by Region Report'!K15)/1000000</f>
        <v>12.570990460000004</v>
      </c>
      <c r="L12" s="9">
        <f>('4Q 2021 Sales by Region Report'!L15)/1000000</f>
        <v>0</v>
      </c>
      <c r="M12" s="9">
        <f>('4Q 2021 Sales by Region Report'!M15)/1000000</f>
        <v>10.031049860000014</v>
      </c>
      <c r="N12" s="9">
        <f>('4Q 2021 Sales by Region Report'!N15)/1000000</f>
        <v>7.6537670999999943</v>
      </c>
      <c r="O12" s="9">
        <f>('4Q 2021 Sales by Region Report'!O15)/1000000</f>
        <v>-0.11529392999994754</v>
      </c>
      <c r="P12" s="19">
        <f>('4Q 2021 Sales by Region Report'!P15)/1000000</f>
        <v>74.93101232000005</v>
      </c>
    </row>
    <row r="13" spans="1:16" s="12" customFormat="1" x14ac:dyDescent="0.25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5">
      <c r="A14" s="8" t="s">
        <v>11</v>
      </c>
      <c r="B14" s="18">
        <f>('4Q 2021 Sales by Region Report'!B17)/1000000</f>
        <v>45.75960937</v>
      </c>
      <c r="C14" s="18">
        <f>('4Q 2021 Sales by Region Report'!C17)/1000000</f>
        <v>0.64114329000000003</v>
      </c>
      <c r="D14" s="18">
        <f>('4Q 2021 Sales by Region Report'!D17)/1000000</f>
        <v>0</v>
      </c>
      <c r="E14" s="18">
        <f>('4Q 2021 Sales by Region Report'!E17)/1000000</f>
        <v>4.12427367</v>
      </c>
      <c r="F14" s="18">
        <f>('4Q 2021 Sales by Region Report'!F17)/1000000</f>
        <v>0</v>
      </c>
      <c r="G14" s="18">
        <f>('4Q 2021 Sales by Region Report'!G17)/1000000</f>
        <v>0</v>
      </c>
      <c r="H14" s="19">
        <f>('4Q 2021 Sales by Region Report'!H17)/1000000</f>
        <v>50.525026329999996</v>
      </c>
      <c r="I14" s="2">
        <v>0</v>
      </c>
      <c r="J14" s="9">
        <f>('4Q 2021 Sales by Region Report'!J17)/1000000</f>
        <v>35.048697740000001</v>
      </c>
      <c r="K14" s="9">
        <f>('4Q 2021 Sales by Region Report'!K17)/1000000</f>
        <v>0.70861498000000001</v>
      </c>
      <c r="L14" s="9">
        <f>('4Q 2021 Sales by Region Report'!L17)/1000000</f>
        <v>0</v>
      </c>
      <c r="M14" s="9">
        <f>('4Q 2021 Sales by Region Report'!M17)/1000000</f>
        <v>3.2072676099999997</v>
      </c>
      <c r="N14" s="9">
        <f>('4Q 2021 Sales by Region Report'!N17)/1000000</f>
        <v>0</v>
      </c>
      <c r="O14" s="9">
        <f>('4Q 2021 Sales by Region Report'!O17)/1000000</f>
        <v>1.0999999940395355E-7</v>
      </c>
      <c r="P14" s="19">
        <f>('4Q 2021 Sales by Region Report'!P17)/1000000</f>
        <v>38.964580439999999</v>
      </c>
    </row>
    <row r="15" spans="1:16" x14ac:dyDescent="0.25">
      <c r="A15" s="8" t="s">
        <v>13</v>
      </c>
      <c r="B15" s="18">
        <f>('4Q 2021 Sales by Region Report'!B18)/1000000</f>
        <v>14.47967313</v>
      </c>
      <c r="C15" s="18">
        <f>('4Q 2021 Sales by Region Report'!C18)/1000000</f>
        <v>0.70777328000000006</v>
      </c>
      <c r="D15" s="18">
        <f>('4Q 2021 Sales by Region Report'!D18)/1000000</f>
        <v>0</v>
      </c>
      <c r="E15" s="18">
        <f>('4Q 2021 Sales by Region Report'!E18)/1000000</f>
        <v>10.512348080000001</v>
      </c>
      <c r="F15" s="18">
        <f>('4Q 2021 Sales by Region Report'!F18)/1000000</f>
        <v>-3.2051679999999999E-2</v>
      </c>
      <c r="G15" s="18">
        <f>('4Q 2021 Sales by Region Report'!G18)/1000000</f>
        <v>0</v>
      </c>
      <c r="H15" s="19">
        <f>('4Q 2021 Sales by Region Report'!H18)/1000000</f>
        <v>25.66774281</v>
      </c>
      <c r="I15" s="2">
        <v>0</v>
      </c>
      <c r="J15" s="9">
        <f>('4Q 2021 Sales by Region Report'!J18)/1000000</f>
        <v>1.77101149</v>
      </c>
      <c r="K15" s="9">
        <f>('4Q 2021 Sales by Region Report'!K18)/1000000</f>
        <v>4.4219129999999995E-2</v>
      </c>
      <c r="L15" s="9">
        <f>('4Q 2021 Sales by Region Report'!L18)/1000000</f>
        <v>0</v>
      </c>
      <c r="M15" s="9">
        <f>('4Q 2021 Sales by Region Report'!M18)/1000000</f>
        <v>19.581375920000003</v>
      </c>
      <c r="N15" s="9">
        <f>('4Q 2021 Sales by Region Report'!N18)/1000000</f>
        <v>15.723719539999999</v>
      </c>
      <c r="O15" s="9">
        <f>('4Q 2021 Sales by Region Report'!O18)/1000000</f>
        <v>2.7000000327825548E-7</v>
      </c>
      <c r="P15" s="19">
        <f>('4Q 2021 Sales by Region Report'!P18)/1000000</f>
        <v>37.120326349999999</v>
      </c>
    </row>
    <row r="16" spans="1:16" x14ac:dyDescent="0.25">
      <c r="A16" s="8" t="s">
        <v>14</v>
      </c>
      <c r="B16" s="18">
        <f>('4Q 2021 Sales by Region Report'!B19)/1000000</f>
        <v>0</v>
      </c>
      <c r="C16" s="18">
        <f>('4Q 2021 Sales by Region Report'!C19)/1000000</f>
        <v>6.4068458399999999</v>
      </c>
      <c r="D16" s="18">
        <f>('4Q 2021 Sales by Region Report'!D19)/1000000</f>
        <v>0</v>
      </c>
      <c r="E16" s="18">
        <f>('4Q 2021 Sales by Region Report'!E19)/1000000</f>
        <v>5.4944049699999997</v>
      </c>
      <c r="F16" s="18">
        <f>('4Q 2021 Sales by Region Report'!F19)/1000000</f>
        <v>16.256689789999999</v>
      </c>
      <c r="G16" s="18">
        <f>('4Q 2021 Sales by Region Report'!G19)/1000000</f>
        <v>0</v>
      </c>
      <c r="H16" s="19">
        <f>('4Q 2021 Sales by Region Report'!H19)/1000000</f>
        <v>28.1579406</v>
      </c>
      <c r="I16" s="2">
        <v>0</v>
      </c>
      <c r="J16" s="9">
        <f>('4Q 2021 Sales by Region Report'!J19)/1000000</f>
        <v>0</v>
      </c>
      <c r="K16" s="9">
        <f>('4Q 2021 Sales by Region Report'!K19)/1000000</f>
        <v>3.8457161200000001</v>
      </c>
      <c r="L16" s="9">
        <f>('4Q 2021 Sales by Region Report'!L19)/1000000</f>
        <v>0</v>
      </c>
      <c r="M16" s="9">
        <f>('4Q 2021 Sales by Region Report'!M19)/1000000</f>
        <v>5.02678504</v>
      </c>
      <c r="N16" s="9">
        <f>('4Q 2021 Sales by Region Report'!N19)/1000000</f>
        <v>13.821749560000001</v>
      </c>
      <c r="O16" s="9">
        <f>('4Q 2021 Sales by Region Report'!O19)/1000000</f>
        <v>1.0999999940395355E-7</v>
      </c>
      <c r="P16" s="19">
        <f>('4Q 2021 Sales by Region Report'!P19)/1000000</f>
        <v>22.694250829999998</v>
      </c>
    </row>
    <row r="17" spans="1:16" ht="14" x14ac:dyDescent="0.25">
      <c r="A17" s="8" t="s">
        <v>49</v>
      </c>
      <c r="B17" s="18">
        <f>('4Q 2021 Sales by Region Report'!B20)/1000000</f>
        <v>0</v>
      </c>
      <c r="C17" s="18">
        <f>('4Q 2021 Sales by Region Report'!C20)/1000000</f>
        <v>-0.2428486299999999</v>
      </c>
      <c r="D17" s="18">
        <f>('4Q 2021 Sales by Region Report'!D20)/1000000</f>
        <v>0</v>
      </c>
      <c r="E17" s="18">
        <f>('4Q 2021 Sales by Region Report'!E20)/1000000</f>
        <v>14.368265380000002</v>
      </c>
      <c r="F17" s="18">
        <f>('4Q 2021 Sales by Region Report'!F20)/1000000</f>
        <v>0</v>
      </c>
      <c r="G17" s="18">
        <f>('4Q 2021 Sales by Region Report'!G20)/1000000</f>
        <v>-1.8626451492309572E-14</v>
      </c>
      <c r="H17" s="19">
        <f>('4Q 2021 Sales by Region Report'!H20)/1000000</f>
        <v>14.125416749999985</v>
      </c>
      <c r="I17" s="2">
        <v>0</v>
      </c>
      <c r="J17" s="9">
        <f>('4Q 2021 Sales by Region Report'!J20)/1000000</f>
        <v>-7.4505805969238278E-15</v>
      </c>
      <c r="K17" s="9">
        <f>('4Q 2021 Sales by Region Report'!K20)/1000000</f>
        <v>0</v>
      </c>
      <c r="L17" s="9">
        <f>('4Q 2021 Sales by Region Report'!L20)/1000000</f>
        <v>0</v>
      </c>
      <c r="M17" s="9">
        <f>('4Q 2021 Sales by Region Report'!M20)/1000000</f>
        <v>4.4236219299999995</v>
      </c>
      <c r="N17" s="9">
        <f>('4Q 2021 Sales by Region Report'!N20)/1000000</f>
        <v>0</v>
      </c>
      <c r="O17" s="9">
        <f>('4Q 2021 Sales by Region Report'!O20)/1000000</f>
        <v>4.0000021457672122E-8</v>
      </c>
      <c r="P17" s="19">
        <f>('4Q 2021 Sales by Region Report'!P20)/1000000</f>
        <v>4.4236219700000134</v>
      </c>
    </row>
    <row r="18" spans="1:16" x14ac:dyDescent="0.25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5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5">
      <c r="A20" s="8" t="s">
        <v>15</v>
      </c>
      <c r="B20" s="18">
        <f>('4Q 2021 Sales by Region Report'!B22)/1000000</f>
        <v>4.0772292999999999</v>
      </c>
      <c r="C20" s="18">
        <f>('4Q 2021 Sales by Region Report'!C22)/1000000</f>
        <v>15.956029939999999</v>
      </c>
      <c r="D20" s="18">
        <f>('4Q 2021 Sales by Region Report'!D22)/1000000</f>
        <v>48.318265439999998</v>
      </c>
      <c r="E20" s="18">
        <f>('4Q 2021 Sales by Region Report'!E22)/1000000</f>
        <v>22.12209283</v>
      </c>
      <c r="F20" s="18">
        <f>('4Q 2021 Sales by Region Report'!F22)/1000000</f>
        <v>5.1982521300000002</v>
      </c>
      <c r="G20" s="18">
        <f>('4Q 2021 Sales by Region Report'!G22)/1000000</f>
        <v>0</v>
      </c>
      <c r="H20" s="19">
        <f>('4Q 2021 Sales by Region Report'!H22)/1000000</f>
        <v>95.671869639999997</v>
      </c>
      <c r="I20" s="2">
        <v>0</v>
      </c>
      <c r="J20" s="9">
        <f>('4Q 2021 Sales by Region Report'!J22)/1000000</f>
        <v>3.3811769700000003</v>
      </c>
      <c r="K20" s="9">
        <f>('4Q 2021 Sales by Region Report'!K22)/1000000</f>
        <v>33.174150670000003</v>
      </c>
      <c r="L20" s="9">
        <f>('4Q 2021 Sales by Region Report'!L22)/1000000</f>
        <v>32.043226070000003</v>
      </c>
      <c r="M20" s="9">
        <f>('4Q 2021 Sales by Region Report'!M22)/1000000</f>
        <v>25.937363440000002</v>
      </c>
      <c r="N20" s="9">
        <f>('4Q 2021 Sales by Region Report'!N22)/1000000</f>
        <v>2.98896987</v>
      </c>
      <c r="O20" s="9">
        <f>('4Q 2021 Sales by Region Report'!O22)/1000000</f>
        <v>7.4999998509883876E-7</v>
      </c>
      <c r="P20" s="19">
        <f>('4Q 2021 Sales by Region Report'!P22)/1000000</f>
        <v>97.524887769999992</v>
      </c>
    </row>
    <row r="21" spans="1:16" x14ac:dyDescent="0.25">
      <c r="A21" s="11" t="s">
        <v>16</v>
      </c>
      <c r="B21" s="18">
        <f>('4Q 2021 Sales by Region Report'!B23)/1000000</f>
        <v>2.9244020600000002</v>
      </c>
      <c r="C21" s="18">
        <f>('4Q 2021 Sales by Region Report'!C23)/1000000</f>
        <v>7.6959588099999996</v>
      </c>
      <c r="D21" s="18">
        <f>('4Q 2021 Sales by Region Report'!D23)/1000000</f>
        <v>0.49061896000000005</v>
      </c>
      <c r="E21" s="18">
        <f>('4Q 2021 Sales by Region Report'!E23)/1000000</f>
        <v>17.269735230000002</v>
      </c>
      <c r="F21" s="18">
        <f>('4Q 2021 Sales by Region Report'!F23)/1000000</f>
        <v>8.7824810299999996</v>
      </c>
      <c r="G21" s="18">
        <f>('4Q 2021 Sales by Region Report'!G23)/1000000</f>
        <v>9.7790319999992853E-2</v>
      </c>
      <c r="H21" s="19">
        <f>('4Q 2021 Sales by Region Report'!H23)/1000000</f>
        <v>37.260986409999994</v>
      </c>
      <c r="I21" s="2">
        <v>0</v>
      </c>
      <c r="J21" s="9">
        <f>('4Q 2021 Sales by Region Report'!J23)/1000000</f>
        <v>3.37629095</v>
      </c>
      <c r="K21" s="9">
        <f>('4Q 2021 Sales by Region Report'!K23)/1000000</f>
        <v>9.8969863900000004</v>
      </c>
      <c r="L21" s="9">
        <f>('4Q 2021 Sales by Region Report'!L23)/1000000</f>
        <v>0.48733246999999996</v>
      </c>
      <c r="M21" s="9">
        <f>('4Q 2021 Sales by Region Report'!M23)/1000000</f>
        <v>19.344347199999998</v>
      </c>
      <c r="N21" s="9">
        <f>('4Q 2021 Sales by Region Report'!N23)/1000000</f>
        <v>10.342609439999999</v>
      </c>
      <c r="O21" s="9">
        <f>('4Q 2021 Sales by Region Report'!O23)/1000000</f>
        <v>2.5000000745058062E-7</v>
      </c>
      <c r="P21" s="19">
        <f>('4Q 2021 Sales by Region Report'!P23)/1000000</f>
        <v>43.447566700000003</v>
      </c>
    </row>
    <row r="22" spans="1:16" x14ac:dyDescent="0.25">
      <c r="A22" s="8" t="s">
        <v>17</v>
      </c>
      <c r="B22" s="18">
        <f>('4Q 2021 Sales by Region Report'!B24)/1000000</f>
        <v>0</v>
      </c>
      <c r="C22" s="18">
        <f>('4Q 2021 Sales by Region Report'!C24)/1000000</f>
        <v>33.650287399999996</v>
      </c>
      <c r="D22" s="18">
        <f>('4Q 2021 Sales by Region Report'!D24)/1000000</f>
        <v>0</v>
      </c>
      <c r="E22" s="18">
        <f>('4Q 2021 Sales by Region Report'!E24)/1000000</f>
        <v>70.827557549999995</v>
      </c>
      <c r="F22" s="18">
        <f>('4Q 2021 Sales by Region Report'!F24)/1000000</f>
        <v>5.8563024700000001</v>
      </c>
      <c r="G22" s="18">
        <f>('4Q 2021 Sales by Region Report'!G24)/1000000</f>
        <v>0</v>
      </c>
      <c r="H22" s="19">
        <f>('4Q 2021 Sales by Region Report'!H24)/1000000</f>
        <v>110.33414742000001</v>
      </c>
      <c r="I22" s="2">
        <v>0</v>
      </c>
      <c r="J22" s="9">
        <f>('4Q 2021 Sales by Region Report'!J24)/1000000</f>
        <v>0</v>
      </c>
      <c r="K22" s="9">
        <f>('4Q 2021 Sales by Region Report'!K24)/1000000</f>
        <v>31.681223160000002</v>
      </c>
      <c r="L22" s="9">
        <f>('4Q 2021 Sales by Region Report'!L24)/1000000</f>
        <v>0</v>
      </c>
      <c r="M22" s="9">
        <f>('4Q 2021 Sales by Region Report'!M24)/1000000</f>
        <v>67.435189319999992</v>
      </c>
      <c r="N22" s="9">
        <f>('4Q 2021 Sales by Region Report'!N24)/1000000</f>
        <v>6.0561423799999998</v>
      </c>
      <c r="O22" s="9">
        <f>('4Q 2021 Sales by Region Report'!O24)/1000000</f>
        <v>5.9000001847743989E-7</v>
      </c>
      <c r="P22" s="19">
        <f>('4Q 2021 Sales by Region Report'!P24)/1000000</f>
        <v>105.17255545</v>
      </c>
    </row>
    <row r="23" spans="1:16" x14ac:dyDescent="0.25">
      <c r="A23" s="8" t="s">
        <v>18</v>
      </c>
      <c r="B23" s="18">
        <f>('4Q 2021 Sales by Region Report'!B25)/1000000</f>
        <v>0</v>
      </c>
      <c r="C23" s="18">
        <f>('4Q 2021 Sales by Region Report'!C25)/1000000</f>
        <v>19.17289353</v>
      </c>
      <c r="D23" s="18">
        <f>('4Q 2021 Sales by Region Report'!D25)/1000000</f>
        <v>0</v>
      </c>
      <c r="E23" s="18">
        <f>('4Q 2021 Sales by Region Report'!E25)/1000000</f>
        <v>0</v>
      </c>
      <c r="F23" s="18">
        <f>('4Q 2021 Sales by Region Report'!F25)/1000000</f>
        <v>0.28887657</v>
      </c>
      <c r="G23" s="18">
        <f>('4Q 2021 Sales by Region Report'!G25)/1000000</f>
        <v>0</v>
      </c>
      <c r="H23" s="19">
        <f>('4Q 2021 Sales by Region Report'!H25)/1000000</f>
        <v>19.461770100000003</v>
      </c>
      <c r="I23" s="2">
        <v>0</v>
      </c>
      <c r="J23" s="9">
        <f>('4Q 2021 Sales by Region Report'!J25)/1000000</f>
        <v>0</v>
      </c>
      <c r="K23" s="9">
        <f>('4Q 2021 Sales by Region Report'!K25)/1000000</f>
        <v>35.592025210000003</v>
      </c>
      <c r="L23" s="9">
        <f>('4Q 2021 Sales by Region Report'!L25)/1000000</f>
        <v>0</v>
      </c>
      <c r="M23" s="9">
        <f>('4Q 2021 Sales by Region Report'!M25)/1000000</f>
        <v>0</v>
      </c>
      <c r="N23" s="9">
        <f>('4Q 2021 Sales by Region Report'!N25)/1000000</f>
        <v>0</v>
      </c>
      <c r="O23" s="9">
        <f>('4Q 2021 Sales by Region Report'!O25)/1000000</f>
        <v>0</v>
      </c>
      <c r="P23" s="19">
        <f>('4Q 2021 Sales by Region Report'!P25)/1000000</f>
        <v>35.592025210000003</v>
      </c>
    </row>
    <row r="24" spans="1:16" x14ac:dyDescent="0.25">
      <c r="A24" s="8" t="s">
        <v>19</v>
      </c>
      <c r="B24" s="18">
        <f>('4Q 2021 Sales by Region Report'!B26)/1000000</f>
        <v>3.13993631</v>
      </c>
      <c r="C24" s="18">
        <f>('4Q 2021 Sales by Region Report'!C26)/1000000</f>
        <v>29.98369469</v>
      </c>
      <c r="D24" s="18">
        <f>('4Q 2021 Sales by Region Report'!D26)/1000000</f>
        <v>39.789411680000001</v>
      </c>
      <c r="E24" s="18">
        <f>('4Q 2021 Sales by Region Report'!E26)/1000000</f>
        <v>12.65490896</v>
      </c>
      <c r="F24" s="18">
        <f>('4Q 2021 Sales by Region Report'!F26)/1000000</f>
        <v>7.2541217400000004</v>
      </c>
      <c r="G24" s="18">
        <f>('4Q 2021 Sales by Region Report'!G26)/1000000</f>
        <v>0</v>
      </c>
      <c r="H24" s="19">
        <f>('4Q 2021 Sales by Region Report'!H26)/1000000</f>
        <v>92.822073379999992</v>
      </c>
      <c r="I24" s="2">
        <v>0</v>
      </c>
      <c r="J24" s="9">
        <f>('4Q 2021 Sales by Region Report'!J26)/1000000</f>
        <v>3.9125667599999998</v>
      </c>
      <c r="K24" s="9">
        <f>('4Q 2021 Sales by Region Report'!K26)/1000000</f>
        <v>28.027361559999999</v>
      </c>
      <c r="L24" s="9">
        <f>('4Q 2021 Sales by Region Report'!L26)/1000000</f>
        <v>39.121124710000004</v>
      </c>
      <c r="M24" s="9">
        <f>('4Q 2021 Sales by Region Report'!M26)/1000000</f>
        <v>10.86580964</v>
      </c>
      <c r="N24" s="9">
        <f>('4Q 2021 Sales by Region Report'!N26)/1000000</f>
        <v>12.451146359999999</v>
      </c>
      <c r="O24" s="9">
        <f>('4Q 2021 Sales by Region Report'!O26)/1000000</f>
        <v>1.3700000047683716E-6</v>
      </c>
      <c r="P24" s="19">
        <f>('4Q 2021 Sales by Region Report'!P26)/1000000</f>
        <v>94.378010400000008</v>
      </c>
    </row>
    <row r="25" spans="1:16" x14ac:dyDescent="0.25">
      <c r="A25" s="8" t="s">
        <v>20</v>
      </c>
      <c r="B25" s="18">
        <f>('4Q 2021 Sales by Region Report'!B27)/1000000</f>
        <v>0.77297346999999994</v>
      </c>
      <c r="C25" s="18">
        <f>('4Q 2021 Sales by Region Report'!C27)/1000000</f>
        <v>3.72303864</v>
      </c>
      <c r="D25" s="18">
        <f>('4Q 2021 Sales by Region Report'!D27)/1000000</f>
        <v>4.1267381299999997</v>
      </c>
      <c r="E25" s="18">
        <f>('4Q 2021 Sales by Region Report'!E27)/1000000</f>
        <v>4.4879782300000004</v>
      </c>
      <c r="F25" s="18">
        <f>('4Q 2021 Sales by Region Report'!F27)/1000000</f>
        <v>2.5110149500000003</v>
      </c>
      <c r="G25" s="18">
        <f>('4Q 2021 Sales by Region Report'!G27)/1000000</f>
        <v>0</v>
      </c>
      <c r="H25" s="19">
        <f>('4Q 2021 Sales by Region Report'!H27)/1000000</f>
        <v>15.62174342</v>
      </c>
      <c r="I25" s="2">
        <v>0</v>
      </c>
      <c r="J25" s="9">
        <f>('4Q 2021 Sales by Region Report'!J27)/1000000</f>
        <v>1.11765632</v>
      </c>
      <c r="K25" s="9">
        <f>('4Q 2021 Sales by Region Report'!K27)/1000000</f>
        <v>3.8413015099999996</v>
      </c>
      <c r="L25" s="9">
        <f>('4Q 2021 Sales by Region Report'!L27)/1000000</f>
        <v>6.1908299699999993</v>
      </c>
      <c r="M25" s="9">
        <f>('4Q 2021 Sales by Region Report'!M27)/1000000</f>
        <v>5.4436120800000003</v>
      </c>
      <c r="N25" s="9">
        <f>('4Q 2021 Sales by Region Report'!N27)/1000000</f>
        <v>2.95488719</v>
      </c>
      <c r="O25" s="9">
        <f>('4Q 2021 Sales by Region Report'!O27)/1000000</f>
        <v>4.6000000089406968E-7</v>
      </c>
      <c r="P25" s="19">
        <f>('4Q 2021 Sales by Region Report'!P27)/1000000</f>
        <v>19.54828753</v>
      </c>
    </row>
    <row r="26" spans="1:16" s="12" customFormat="1" ht="14" x14ac:dyDescent="0.25">
      <c r="A26" s="11" t="s">
        <v>48</v>
      </c>
      <c r="B26" s="18">
        <f>('4Q 2021 Sales by Region Report'!B28)/1000000</f>
        <v>0</v>
      </c>
      <c r="C26" s="18">
        <f>('4Q 2021 Sales by Region Report'!C28)/1000000</f>
        <v>3.2810779599999935</v>
      </c>
      <c r="D26" s="18">
        <f>('4Q 2021 Sales by Region Report'!D28)/1000000</f>
        <v>2.3133700000047682E-3</v>
      </c>
      <c r="E26" s="18">
        <f>('4Q 2021 Sales by Region Report'!E28)/1000000</f>
        <v>15.206296700000003</v>
      </c>
      <c r="F26" s="18">
        <f>('4Q 2021 Sales by Region Report'!F28)/1000000</f>
        <v>8.0372522800000041</v>
      </c>
      <c r="G26" s="18">
        <f>('4Q 2021 Sales by Region Report'!G28)/1000000</f>
        <v>0</v>
      </c>
      <c r="H26" s="19">
        <f>('4Q 2021 Sales by Region Report'!H28)/1000000</f>
        <v>26.526940310000004</v>
      </c>
      <c r="I26" s="12">
        <v>0</v>
      </c>
      <c r="J26" s="9">
        <f>('4Q 2021 Sales by Region Report'!J28)/1000000</f>
        <v>0</v>
      </c>
      <c r="K26" s="9">
        <f>('4Q 2021 Sales by Region Report'!K28)/1000000</f>
        <v>16.264661349999994</v>
      </c>
      <c r="L26" s="9">
        <f>('4Q 2021 Sales by Region Report'!L28)/1000000</f>
        <v>3.6287100000083447E-3</v>
      </c>
      <c r="M26" s="9">
        <f>('4Q 2021 Sales by Region Report'!M28)/1000000</f>
        <v>15.828531609999999</v>
      </c>
      <c r="N26" s="9">
        <f>('4Q 2021 Sales by Region Report'!N28)/1000000</f>
        <v>6.4472280400000068</v>
      </c>
      <c r="O26" s="9">
        <f>('4Q 2021 Sales by Region Report'!O28)/1000000</f>
        <v>6.3000002503395076E-7</v>
      </c>
      <c r="P26" s="19">
        <f>('4Q 2021 Sales by Region Report'!P28)/1000000</f>
        <v>38.544050340000034</v>
      </c>
    </row>
    <row r="27" spans="1:16" s="12" customFormat="1" x14ac:dyDescent="0.25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5">
      <c r="A28" s="8" t="s">
        <v>21</v>
      </c>
      <c r="B28" s="18">
        <f>('4Q 2021 Sales by Region Report'!B30)/1000000</f>
        <v>4.7587638600000002</v>
      </c>
      <c r="C28" s="18">
        <f>('4Q 2021 Sales by Region Report'!C30)/1000000</f>
        <v>45.79450138</v>
      </c>
      <c r="D28" s="18">
        <f>('4Q 2021 Sales by Region Report'!D30)/1000000</f>
        <v>38.112203579999999</v>
      </c>
      <c r="E28" s="18">
        <f>('4Q 2021 Sales by Region Report'!E30)/1000000</f>
        <v>15.7709346</v>
      </c>
      <c r="F28" s="18">
        <f>('4Q 2021 Sales by Region Report'!F30)/1000000</f>
        <v>8.7263353499999994</v>
      </c>
      <c r="G28" s="18">
        <f>('4Q 2021 Sales by Region Report'!G30)/1000000</f>
        <v>0</v>
      </c>
      <c r="H28" s="19">
        <f>('4Q 2021 Sales by Region Report'!H30)/1000000</f>
        <v>113.16273876999999</v>
      </c>
      <c r="I28" s="2">
        <v>0</v>
      </c>
      <c r="J28" s="9">
        <f>('4Q 2021 Sales by Region Report'!J30)/1000000</f>
        <v>4.1960702599999999</v>
      </c>
      <c r="K28" s="9">
        <f>('4Q 2021 Sales by Region Report'!K30)/1000000</f>
        <v>50.927606950000005</v>
      </c>
      <c r="L28" s="9">
        <f>('4Q 2021 Sales by Region Report'!L30)/1000000</f>
        <v>43.455981600000001</v>
      </c>
      <c r="M28" s="9">
        <f>('4Q 2021 Sales by Region Report'!M30)/1000000</f>
        <v>16.531230310000002</v>
      </c>
      <c r="N28" s="9">
        <f>('4Q 2021 Sales by Region Report'!N30)/1000000</f>
        <v>8.9574447700000004</v>
      </c>
      <c r="O28" s="9">
        <f>('4Q 2021 Sales by Region Report'!O30)/1000000</f>
        <v>7.5000000000000002E-7</v>
      </c>
      <c r="P28" s="19">
        <f>('4Q 2021 Sales by Region Report'!P30)/1000000</f>
        <v>124.06833464</v>
      </c>
    </row>
    <row r="29" spans="1:16" x14ac:dyDescent="0.25">
      <c r="A29" s="8" t="s">
        <v>22</v>
      </c>
      <c r="B29" s="20">
        <f>('4Q 2021 Sales by Region Report'!B31)/1000000</f>
        <v>1.94221146</v>
      </c>
      <c r="C29" s="20">
        <f>('4Q 2021 Sales by Region Report'!C31)/1000000</f>
        <v>7.4577154299999995</v>
      </c>
      <c r="D29" s="20">
        <f>('4Q 2021 Sales by Region Report'!D31)/1000000</f>
        <v>21.256325420000003</v>
      </c>
      <c r="E29" s="20">
        <f>('4Q 2021 Sales by Region Report'!E31)/1000000</f>
        <v>12.064649119999999</v>
      </c>
      <c r="F29" s="20">
        <f>('4Q 2021 Sales by Region Report'!F31)/1000000</f>
        <v>19.078336289999999</v>
      </c>
      <c r="G29" s="18">
        <f>('4Q 2021 Sales by Region Report'!G31)/1000000</f>
        <v>0.65860799999999997</v>
      </c>
      <c r="H29" s="21">
        <f>('4Q 2021 Sales by Region Report'!H31)/1000000</f>
        <v>62.457845720000002</v>
      </c>
      <c r="I29" s="2">
        <v>0</v>
      </c>
      <c r="J29" s="14">
        <f>('4Q 2021 Sales by Region Report'!J31)/1000000</f>
        <v>2.6150443399999999</v>
      </c>
      <c r="K29" s="14">
        <f>('4Q 2021 Sales by Region Report'!K31)/1000000</f>
        <v>7.7396638099999997</v>
      </c>
      <c r="L29" s="14">
        <f>('4Q 2021 Sales by Region Report'!L31)/1000000</f>
        <v>19.357563010000003</v>
      </c>
      <c r="M29" s="14">
        <f>('4Q 2021 Sales by Region Report'!M31)/1000000</f>
        <v>10.32781593</v>
      </c>
      <c r="N29" s="14">
        <f>('4Q 2021 Sales by Region Report'!N31)/1000000</f>
        <v>17.411636000000001</v>
      </c>
      <c r="O29" s="14">
        <f>('4Q 2021 Sales by Region Report'!O31)/1000000</f>
        <v>4.0918979999996719E-2</v>
      </c>
      <c r="P29" s="21">
        <f>('4Q 2021 Sales by Region Report'!P31)/1000000</f>
        <v>57.492642070000002</v>
      </c>
    </row>
    <row r="30" spans="1:16" x14ac:dyDescent="0.25">
      <c r="A30" s="11" t="s">
        <v>23</v>
      </c>
      <c r="B30" s="18">
        <f>('4Q 2021 Sales by Region Report'!B32)/1000000</f>
        <v>33.618765320000001</v>
      </c>
      <c r="C30" s="18">
        <f>('4Q 2021 Sales by Region Report'!C32)/1000000</f>
        <v>0</v>
      </c>
      <c r="D30" s="18">
        <f>('4Q 2021 Sales by Region Report'!D32)/1000000</f>
        <v>0</v>
      </c>
      <c r="E30" s="18">
        <f>('4Q 2021 Sales by Region Report'!E32)/1000000</f>
        <v>10.07190636</v>
      </c>
      <c r="F30" s="18">
        <f>('4Q 2021 Sales by Region Report'!F32)/1000000</f>
        <v>0.16362323000000001</v>
      </c>
      <c r="G30" s="18">
        <f>('4Q 2021 Sales by Region Report'!G32)/1000000</f>
        <v>0</v>
      </c>
      <c r="H30" s="19">
        <f>('4Q 2021 Sales by Region Report'!H32)/1000000</f>
        <v>43.854294909999993</v>
      </c>
      <c r="I30" s="2">
        <v>0</v>
      </c>
      <c r="J30" s="9">
        <f>('4Q 2021 Sales by Region Report'!J32)/1000000</f>
        <v>32.964831060000002</v>
      </c>
      <c r="K30" s="9">
        <f>('4Q 2021 Sales by Region Report'!K32)/1000000</f>
        <v>0</v>
      </c>
      <c r="L30" s="9">
        <f>('4Q 2021 Sales by Region Report'!L32)/1000000</f>
        <v>0</v>
      </c>
      <c r="M30" s="9">
        <f>('4Q 2021 Sales by Region Report'!M32)/1000000</f>
        <v>8.3625866799999997</v>
      </c>
      <c r="N30" s="9">
        <f>('4Q 2021 Sales by Region Report'!N32)/1000000</f>
        <v>0.13105301999999999</v>
      </c>
      <c r="O30" s="9">
        <f>('4Q 2021 Sales by Region Report'!O32)/1000000</f>
        <v>7.0000000298023227E-8</v>
      </c>
      <c r="P30" s="19">
        <f>('4Q 2021 Sales by Region Report'!P32)/1000000</f>
        <v>41.458470829999996</v>
      </c>
    </row>
    <row r="31" spans="1:16" x14ac:dyDescent="0.25">
      <c r="A31" s="8" t="s">
        <v>24</v>
      </c>
      <c r="B31" s="20">
        <f>('4Q 2021 Sales by Region Report'!B33)/1000000</f>
        <v>0.93837055000000003</v>
      </c>
      <c r="C31" s="20">
        <f>('4Q 2021 Sales by Region Report'!C33)/1000000</f>
        <v>9.0364750399999991</v>
      </c>
      <c r="D31" s="18">
        <f>('4Q 2021 Sales by Region Report'!D33)/1000000</f>
        <v>1.14547E-3</v>
      </c>
      <c r="E31" s="20">
        <f>('4Q 2021 Sales by Region Report'!E33)/1000000</f>
        <v>11.013120900000001</v>
      </c>
      <c r="F31" s="20">
        <f>('4Q 2021 Sales by Region Report'!F33)/1000000</f>
        <v>7.3942682599999996</v>
      </c>
      <c r="G31" s="20">
        <f>('4Q 2021 Sales by Region Report'!G33)/1000000</f>
        <v>0</v>
      </c>
      <c r="H31" s="19">
        <f>('4Q 2021 Sales by Region Report'!H33)/1000000</f>
        <v>28.383380219999999</v>
      </c>
      <c r="I31" s="2">
        <v>0</v>
      </c>
      <c r="J31" s="14">
        <f>('4Q 2021 Sales by Region Report'!J33)/1000000</f>
        <v>1.8481114299999999</v>
      </c>
      <c r="K31" s="14">
        <f>('4Q 2021 Sales by Region Report'!K33)/1000000</f>
        <v>2.5397738799999998</v>
      </c>
      <c r="L31" s="14">
        <f>('4Q 2021 Sales by Region Report'!L33)/1000000</f>
        <v>9.0363320000000011E-2</v>
      </c>
      <c r="M31" s="14">
        <f>('4Q 2021 Sales by Region Report'!M33)/1000000</f>
        <v>10.46496447</v>
      </c>
      <c r="N31" s="14">
        <f>('4Q 2021 Sales by Region Report'!N33)/1000000</f>
        <v>5.8497962000000001</v>
      </c>
      <c r="O31" s="14">
        <f>('4Q 2021 Sales by Region Report'!O33)/1000000</f>
        <v>9.8000000044703491E-7</v>
      </c>
      <c r="P31" s="19">
        <f>('4Q 2021 Sales by Region Report'!P33)/1000000</f>
        <v>20.793010280000001</v>
      </c>
    </row>
    <row r="32" spans="1:16" x14ac:dyDescent="0.25">
      <c r="A32" s="11" t="s">
        <v>25</v>
      </c>
      <c r="B32" s="18">
        <f>('4Q 2021 Sales by Region Report'!B34)/1000000</f>
        <v>13.9888361</v>
      </c>
      <c r="C32" s="18">
        <f>('4Q 2021 Sales by Region Report'!C34)/1000000</f>
        <v>0.48557073000000001</v>
      </c>
      <c r="D32" s="18">
        <f>('4Q 2021 Sales by Region Report'!D34)/1000000</f>
        <v>0</v>
      </c>
      <c r="E32" s="18">
        <f>('4Q 2021 Sales by Region Report'!E34)/1000000</f>
        <v>1.0058317999999999</v>
      </c>
      <c r="F32" s="18">
        <f>('4Q 2021 Sales by Region Report'!F34)/1000000</f>
        <v>0</v>
      </c>
      <c r="G32" s="18">
        <f>('4Q 2021 Sales by Region Report'!G34)/1000000</f>
        <v>0.20080799999999999</v>
      </c>
      <c r="H32" s="19">
        <f>('4Q 2021 Sales by Region Report'!H34)/1000000</f>
        <v>15.681046630000001</v>
      </c>
      <c r="I32" s="2">
        <v>0</v>
      </c>
      <c r="J32" s="9">
        <f>('4Q 2021 Sales by Region Report'!J34)/1000000</f>
        <v>17.31504417</v>
      </c>
      <c r="K32" s="9">
        <f>('4Q 2021 Sales by Region Report'!K34)/1000000</f>
        <v>0.64625580000000005</v>
      </c>
      <c r="L32" s="9">
        <f>('4Q 2021 Sales by Region Report'!L34)/1000000</f>
        <v>0</v>
      </c>
      <c r="M32" s="9">
        <f>('4Q 2021 Sales by Region Report'!M34)/1000000</f>
        <v>1.42788347</v>
      </c>
      <c r="N32" s="9">
        <f>('4Q 2021 Sales by Region Report'!N34)/1000000</f>
        <v>-2.2139700000000002E-2</v>
      </c>
      <c r="O32" s="9">
        <f>('4Q 2021 Sales by Region Report'!O34)/1000000</f>
        <v>0.25077610999999939</v>
      </c>
      <c r="P32" s="19">
        <f>('4Q 2021 Sales by Region Report'!P34)/1000000</f>
        <v>19.61781985</v>
      </c>
    </row>
    <row r="33" spans="1:16" ht="14" x14ac:dyDescent="0.25">
      <c r="A33" s="8" t="s">
        <v>47</v>
      </c>
      <c r="B33" s="18">
        <f>('4Q 2021 Sales by Region Report'!B35)/1000000</f>
        <v>-0.87698603999999913</v>
      </c>
      <c r="C33" s="18">
        <f>('4Q 2021 Sales by Region Report'!C35)/1000000</f>
        <v>8.7816225700000086</v>
      </c>
      <c r="D33" s="18">
        <f>('4Q 2021 Sales by Region Report'!D35)/1000000</f>
        <v>0</v>
      </c>
      <c r="E33" s="18">
        <f>('4Q 2021 Sales by Region Report'!E35)/1000000</f>
        <v>0.13955957000000774</v>
      </c>
      <c r="F33" s="18">
        <f>('4Q 2021 Sales by Region Report'!F35)/1000000</f>
        <v>1.5635302100000008</v>
      </c>
      <c r="G33" s="18">
        <f>('4Q 2021 Sales by Region Report'!G35)/1000000</f>
        <v>-1.4901161193847656E-14</v>
      </c>
      <c r="H33" s="19">
        <f>('4Q 2021 Sales by Region Report'!H35)/1000000</f>
        <v>9.6077263100000021</v>
      </c>
      <c r="I33" s="2">
        <v>0</v>
      </c>
      <c r="J33" s="9">
        <f>('4Q 2021 Sales by Region Report'!J35)/1000000</f>
        <v>2.1093712800000013</v>
      </c>
      <c r="K33" s="9">
        <f>('4Q 2021 Sales by Region Report'!K35)/1000000</f>
        <v>5.3311215399999989</v>
      </c>
      <c r="L33" s="9">
        <f>('4Q 2021 Sales by Region Report'!L35)/1000000</f>
        <v>0</v>
      </c>
      <c r="M33" s="9">
        <f>('4Q 2021 Sales by Region Report'!M35)/1000000</f>
        <v>0.29101445000000298</v>
      </c>
      <c r="N33" s="9">
        <f>('4Q 2021 Sales by Region Report'!N35)/1000000</f>
        <v>1.2923055300000013</v>
      </c>
      <c r="O33" s="9">
        <f>('4Q 2021 Sales by Region Report'!O35)/1000000</f>
        <v>1.1999995261430742E-7</v>
      </c>
      <c r="P33" s="19">
        <f>('4Q 2021 Sales by Region Report'!P35)/1000000</f>
        <v>9.0238129199999566</v>
      </c>
    </row>
    <row r="34" spans="1:16" x14ac:dyDescent="0.25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5">
      <c r="A35" s="8" t="s">
        <v>26</v>
      </c>
      <c r="B35" s="18">
        <f>('4Q 2021 Sales by Region Report'!B37)/1000000</f>
        <v>0</v>
      </c>
      <c r="C35" s="18">
        <f>('4Q 2021 Sales by Region Report'!C37)/1000000</f>
        <v>9.8997100800000002</v>
      </c>
      <c r="D35" s="18">
        <f>('4Q 2021 Sales by Region Report'!D37)/1000000</f>
        <v>9.7058121899999996</v>
      </c>
      <c r="E35" s="18">
        <f>('4Q 2021 Sales by Region Report'!E37)/1000000</f>
        <v>16.731480000000001</v>
      </c>
      <c r="F35" s="18">
        <f>('4Q 2021 Sales by Region Report'!F37)/1000000</f>
        <v>23.861991719999999</v>
      </c>
      <c r="G35" s="18">
        <f>('4Q 2021 Sales by Region Report'!G37)/1000000</f>
        <v>0</v>
      </c>
      <c r="H35" s="19">
        <f>('4Q 2021 Sales by Region Report'!H37)/1000000</f>
        <v>60.198993990000005</v>
      </c>
      <c r="I35" s="2">
        <v>0</v>
      </c>
      <c r="J35" s="9">
        <f>('4Q 2021 Sales by Region Report'!J37)/1000000</f>
        <v>0</v>
      </c>
      <c r="K35" s="9">
        <f>('4Q 2021 Sales by Region Report'!K37)/1000000</f>
        <v>11.382336560000001</v>
      </c>
      <c r="L35" s="9">
        <f>('4Q 2021 Sales by Region Report'!L37)/1000000</f>
        <v>6.9884736700000003</v>
      </c>
      <c r="M35" s="9">
        <f>('4Q 2021 Sales by Region Report'!M37)/1000000</f>
        <v>15.51745435</v>
      </c>
      <c r="N35" s="9">
        <f>('4Q 2021 Sales by Region Report'!N37)/1000000</f>
        <v>20.24273019</v>
      </c>
      <c r="O35" s="9">
        <f>('4Q 2021 Sales by Region Report'!O37)/1000000</f>
        <v>6.5000000596046446E-7</v>
      </c>
      <c r="P35" s="19">
        <f>('4Q 2021 Sales by Region Report'!P37)/1000000</f>
        <v>54.130995420000005</v>
      </c>
    </row>
    <row r="36" spans="1:16" x14ac:dyDescent="0.25">
      <c r="A36" s="8" t="s">
        <v>27</v>
      </c>
      <c r="B36" s="18">
        <f>('4Q 2021 Sales by Region Report'!B38)/1000000</f>
        <v>0.93490340999999999</v>
      </c>
      <c r="C36" s="18">
        <f>('4Q 2021 Sales by Region Report'!C38)/1000000</f>
        <v>9.9461889199999991</v>
      </c>
      <c r="D36" s="18">
        <f>('4Q 2021 Sales by Region Report'!D38)/1000000</f>
        <v>18.223029269999998</v>
      </c>
      <c r="E36" s="18">
        <f>('4Q 2021 Sales by Region Report'!E38)/1000000</f>
        <v>9.5777596799999998</v>
      </c>
      <c r="F36" s="18">
        <f>('4Q 2021 Sales by Region Report'!F38)/1000000</f>
        <v>4.35819359</v>
      </c>
      <c r="G36" s="18">
        <f>('4Q 2021 Sales by Region Report'!G38)/1000000</f>
        <v>0</v>
      </c>
      <c r="H36" s="19">
        <f>('4Q 2021 Sales by Region Report'!H38)/1000000</f>
        <v>43.040074869999998</v>
      </c>
      <c r="I36" s="2">
        <v>0</v>
      </c>
      <c r="J36" s="9">
        <f>('4Q 2021 Sales by Region Report'!J38)/1000000</f>
        <v>1.0003207000000001</v>
      </c>
      <c r="K36" s="9">
        <f>('4Q 2021 Sales by Region Report'!K38)/1000000</f>
        <v>10.85042597</v>
      </c>
      <c r="L36" s="9">
        <f>('4Q 2021 Sales by Region Report'!L38)/1000000</f>
        <v>13.185829949999999</v>
      </c>
      <c r="M36" s="9">
        <f>('4Q 2021 Sales by Region Report'!M38)/1000000</f>
        <v>10.51558453</v>
      </c>
      <c r="N36" s="9">
        <f>('4Q 2021 Sales by Region Report'!N38)/1000000</f>
        <v>4.3438843700000005</v>
      </c>
      <c r="O36" s="9">
        <f>('4Q 2021 Sales by Region Report'!O38)/1000000</f>
        <v>6.5000000596046446E-7</v>
      </c>
      <c r="P36" s="19">
        <f>('4Q 2021 Sales by Region Report'!P38)/1000000</f>
        <v>39.896046170000005</v>
      </c>
    </row>
    <row r="37" spans="1:16" x14ac:dyDescent="0.25">
      <c r="A37" s="8" t="s">
        <v>28</v>
      </c>
      <c r="B37" s="18">
        <f>('4Q 2021 Sales by Region Report'!B39)/1000000</f>
        <v>0</v>
      </c>
      <c r="C37" s="18">
        <f>('4Q 2021 Sales by Region Report'!C39)/1000000</f>
        <v>0.96788457999999999</v>
      </c>
      <c r="D37" s="18">
        <f>('4Q 2021 Sales by Region Report'!D39)/1000000</f>
        <v>6.7992484500000003</v>
      </c>
      <c r="E37" s="18">
        <f>('4Q 2021 Sales by Region Report'!E39)/1000000</f>
        <v>6.3007641599999999</v>
      </c>
      <c r="F37" s="18">
        <f>('4Q 2021 Sales by Region Report'!F39)/1000000</f>
        <v>19.258153960000001</v>
      </c>
      <c r="G37" s="18">
        <f>('4Q 2021 Sales by Region Report'!G39)/1000000</f>
        <v>0</v>
      </c>
      <c r="H37" s="19">
        <f>('4Q 2021 Sales by Region Report'!H39)/1000000</f>
        <v>33.326051149999998</v>
      </c>
      <c r="I37" s="2">
        <v>0</v>
      </c>
      <c r="J37" s="9">
        <f>('4Q 2021 Sales by Region Report'!J39)/1000000</f>
        <v>0</v>
      </c>
      <c r="K37" s="9">
        <f>('4Q 2021 Sales by Region Report'!K39)/1000000</f>
        <v>1.0731768799999999</v>
      </c>
      <c r="L37" s="9">
        <f>('4Q 2021 Sales by Region Report'!L39)/1000000</f>
        <v>5.3643591600000002</v>
      </c>
      <c r="M37" s="9">
        <f>('4Q 2021 Sales by Region Report'!M39)/1000000</f>
        <v>6.1076553000000002</v>
      </c>
      <c r="N37" s="9">
        <f>('4Q 2021 Sales by Region Report'!N39)/1000000</f>
        <v>19.06329414</v>
      </c>
      <c r="O37" s="9">
        <f>('4Q 2021 Sales by Region Report'!O39)/1000000</f>
        <v>3.0999999865889548E-7</v>
      </c>
      <c r="P37" s="19">
        <f>('4Q 2021 Sales by Region Report'!P39)/1000000</f>
        <v>31.60848579</v>
      </c>
    </row>
    <row r="38" spans="1:16" x14ac:dyDescent="0.25">
      <c r="A38" s="11" t="s">
        <v>29</v>
      </c>
      <c r="B38" s="18">
        <f>('4Q 2021 Sales by Region Report'!B40)/1000000</f>
        <v>0.26839716999999996</v>
      </c>
      <c r="C38" s="18">
        <f>('4Q 2021 Sales by Region Report'!C40)/1000000</f>
        <v>6.6209897199999999</v>
      </c>
      <c r="D38" s="18">
        <f>('4Q 2021 Sales by Region Report'!D40)/1000000</f>
        <v>0</v>
      </c>
      <c r="E38" s="18">
        <f>('4Q 2021 Sales by Region Report'!E40)/1000000</f>
        <v>12.359156689999999</v>
      </c>
      <c r="F38" s="18">
        <f>('4Q 2021 Sales by Region Report'!F40)/1000000</f>
        <v>2.72413858</v>
      </c>
      <c r="G38" s="18">
        <f>('4Q 2021 Sales by Region Report'!G40)/1000000</f>
        <v>0</v>
      </c>
      <c r="H38" s="19">
        <f>('4Q 2021 Sales by Region Report'!H40)/1000000</f>
        <v>21.972682160000002</v>
      </c>
      <c r="I38" s="2">
        <v>0</v>
      </c>
      <c r="J38" s="9">
        <f>('4Q 2021 Sales by Region Report'!J40)/1000000</f>
        <v>1.309623E-2</v>
      </c>
      <c r="K38" s="9">
        <f>('4Q 2021 Sales by Region Report'!K40)/1000000</f>
        <v>6.3316835099999995</v>
      </c>
      <c r="L38" s="9">
        <f>('4Q 2021 Sales by Region Report'!L40)/1000000</f>
        <v>0</v>
      </c>
      <c r="M38" s="9">
        <f>('4Q 2021 Sales by Region Report'!M40)/1000000</f>
        <v>14.79737083</v>
      </c>
      <c r="N38" s="9">
        <f>('4Q 2021 Sales by Region Report'!N40)/1000000</f>
        <v>2.2526442700000002</v>
      </c>
      <c r="O38" s="9">
        <f>('4Q 2021 Sales by Region Report'!O40)/1000000</f>
        <v>6.0000000149011611E-7</v>
      </c>
      <c r="P38" s="19">
        <f>('4Q 2021 Sales by Region Report'!P40)/1000000</f>
        <v>23.394795440000003</v>
      </c>
    </row>
    <row r="39" spans="1:16" s="12" customFormat="1" ht="14" x14ac:dyDescent="0.25">
      <c r="A39" s="11" t="s">
        <v>46</v>
      </c>
      <c r="B39" s="18">
        <f>('4Q 2021 Sales by Region Report'!B41)/1000000</f>
        <v>3.6658997199999996</v>
      </c>
      <c r="C39" s="18">
        <f>('4Q 2021 Sales by Region Report'!C41)/1000000</f>
        <v>7.5014765400000067</v>
      </c>
      <c r="D39" s="18">
        <f>('4Q 2021 Sales by Region Report'!D41)/1000000</f>
        <v>-7.4505805969238278E-15</v>
      </c>
      <c r="E39" s="18">
        <f>('4Q 2021 Sales by Region Report'!E41)/1000000</f>
        <v>26.507789659999997</v>
      </c>
      <c r="F39" s="18">
        <f>('4Q 2021 Sales by Region Report'!F41)/1000000</f>
        <v>12.219356690000005</v>
      </c>
      <c r="G39" s="18">
        <f>('4Q 2021 Sales by Region Report'!G41)/1000000</f>
        <v>0</v>
      </c>
      <c r="H39" s="19">
        <f>('4Q 2021 Sales by Region Report'!H41)/1000000</f>
        <v>49.894522610000017</v>
      </c>
      <c r="I39" s="12">
        <v>0</v>
      </c>
      <c r="J39" s="9">
        <f>('4Q 2021 Sales by Region Report'!J41)/1000000</f>
        <v>4.5947588799999997</v>
      </c>
      <c r="K39" s="9">
        <f>('4Q 2021 Sales by Region Report'!K41)/1000000</f>
        <v>7.0243390499999974</v>
      </c>
      <c r="L39" s="9">
        <f>('4Q 2021 Sales by Region Report'!L41)/1000000</f>
        <v>3.7252902984619139E-15</v>
      </c>
      <c r="M39" s="9">
        <f>('4Q 2021 Sales by Region Report'!M41)/1000000</f>
        <v>27.501607869999997</v>
      </c>
      <c r="N39" s="9">
        <f>('4Q 2021 Sales by Region Report'!N41)/1000000</f>
        <v>11.317378869999997</v>
      </c>
      <c r="O39" s="9">
        <f>('4Q 2021 Sales by Region Report'!O41)/1000000</f>
        <v>1.5600000247359276E-6</v>
      </c>
      <c r="P39" s="19">
        <f>('4Q 2021 Sales by Region Report'!P41)/1000000</f>
        <v>50.438086230000017</v>
      </c>
    </row>
    <row r="40" spans="1:16" s="12" customFormat="1" x14ac:dyDescent="0.25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5">
      <c r="A41" s="8" t="s">
        <v>30</v>
      </c>
      <c r="B41" s="18">
        <f>('4Q 2021 Sales by Region Report'!B43)/1000000</f>
        <v>0.27942472999999995</v>
      </c>
      <c r="C41" s="18">
        <f>('4Q 2021 Sales by Region Report'!C43)/1000000</f>
        <v>2.4507992599999997</v>
      </c>
      <c r="D41" s="18">
        <f>('4Q 2021 Sales by Region Report'!D43)/1000000</f>
        <v>18.882881699999999</v>
      </c>
      <c r="E41" s="18">
        <f>('4Q 2021 Sales by Region Report'!E43)/1000000</f>
        <v>3.1578593800000001</v>
      </c>
      <c r="F41" s="18">
        <f>('4Q 2021 Sales by Region Report'!F43)/1000000</f>
        <v>0.77741981000000004</v>
      </c>
      <c r="G41" s="18">
        <f>('4Q 2021 Sales by Region Report'!G43)/1000000</f>
        <v>0</v>
      </c>
      <c r="H41" s="19">
        <f>('4Q 2021 Sales by Region Report'!H43)/1000000</f>
        <v>25.54838488</v>
      </c>
      <c r="I41" s="2">
        <v>0</v>
      </c>
      <c r="J41" s="9">
        <f>('4Q 2021 Sales by Region Report'!J43)/1000000</f>
        <v>0.43838636999999997</v>
      </c>
      <c r="K41" s="9">
        <f>('4Q 2021 Sales by Region Report'!K43)/1000000</f>
        <v>4.5608221500000008</v>
      </c>
      <c r="L41" s="9">
        <f>('4Q 2021 Sales by Region Report'!L43)/1000000</f>
        <v>13.36383191</v>
      </c>
      <c r="M41" s="9">
        <f>('4Q 2021 Sales by Region Report'!M43)/1000000</f>
        <v>3.13004814</v>
      </c>
      <c r="N41" s="9">
        <f>('4Q 2021 Sales by Region Report'!N43)/1000000</f>
        <v>0.75687362999999996</v>
      </c>
      <c r="O41" s="9">
        <f>('4Q 2021 Sales by Region Report'!O43)/1000000</f>
        <v>4.700000025331974E-7</v>
      </c>
      <c r="P41" s="19">
        <f>('4Q 2021 Sales by Region Report'!P43)/1000000</f>
        <v>22.249962670000002</v>
      </c>
    </row>
    <row r="42" spans="1:16" x14ac:dyDescent="0.25">
      <c r="A42" s="8" t="s">
        <v>31</v>
      </c>
      <c r="B42" s="18">
        <f>('4Q 2021 Sales by Region Report'!B44)/1000000</f>
        <v>4.3714572900000004</v>
      </c>
      <c r="C42" s="18">
        <f>('4Q 2021 Sales by Region Report'!C44)/1000000</f>
        <v>15.50932091</v>
      </c>
      <c r="D42" s="18">
        <f>('4Q 2021 Sales by Region Report'!D44)/1000000</f>
        <v>11.021837489999999</v>
      </c>
      <c r="E42" s="18">
        <f>('4Q 2021 Sales by Region Report'!E44)/1000000</f>
        <v>3.89920183</v>
      </c>
      <c r="F42" s="18">
        <f>('4Q 2021 Sales by Region Report'!F44)/1000000</f>
        <v>0.83400368000000002</v>
      </c>
      <c r="G42" s="18">
        <f>('4Q 2021 Sales by Region Report'!G44)/1000000</f>
        <v>0</v>
      </c>
      <c r="H42" s="19">
        <f>('4Q 2021 Sales by Region Report'!H44)/1000000</f>
        <v>35.635821200000002</v>
      </c>
      <c r="I42" s="2">
        <v>0</v>
      </c>
      <c r="J42" s="9">
        <f>('4Q 2021 Sales by Region Report'!J44)/1000000</f>
        <v>2.4604771400000001</v>
      </c>
      <c r="K42" s="9">
        <f>('4Q 2021 Sales by Region Report'!K44)/1000000</f>
        <v>18.021773589999999</v>
      </c>
      <c r="L42" s="9">
        <f>('4Q 2021 Sales by Region Report'!L44)/1000000</f>
        <v>14.152991699999999</v>
      </c>
      <c r="M42" s="9">
        <f>('4Q 2021 Sales by Region Report'!M44)/1000000</f>
        <v>3.2598091199999999</v>
      </c>
      <c r="N42" s="9">
        <f>('4Q 2021 Sales by Region Report'!N44)/1000000</f>
        <v>0.84175080000000002</v>
      </c>
      <c r="O42" s="9">
        <f>('4Q 2021 Sales by Region Report'!O44)/1000000</f>
        <v>2.6000000536441805E-7</v>
      </c>
      <c r="P42" s="19">
        <f>('4Q 2021 Sales by Region Report'!P44)/1000000</f>
        <v>38.736802609999998</v>
      </c>
    </row>
    <row r="43" spans="1:16" x14ac:dyDescent="0.25">
      <c r="A43" s="8" t="s">
        <v>33</v>
      </c>
      <c r="B43" s="18">
        <f>('4Q 2021 Sales by Region Report'!B45)/1000000</f>
        <v>0.11115208</v>
      </c>
      <c r="C43" s="18">
        <f>('4Q 2021 Sales by Region Report'!C45)/1000000</f>
        <v>3.57852273</v>
      </c>
      <c r="D43" s="18">
        <f>('4Q 2021 Sales by Region Report'!D45)/1000000</f>
        <v>1.1683599999999998E-3</v>
      </c>
      <c r="E43" s="18">
        <f>('4Q 2021 Sales by Region Report'!E45)/1000000</f>
        <v>13.26127485</v>
      </c>
      <c r="F43" s="18">
        <f>('4Q 2021 Sales by Region Report'!F45)/1000000</f>
        <v>0.5147043</v>
      </c>
      <c r="G43" s="18">
        <f>('4Q 2021 Sales by Region Report'!G45)/1000000</f>
        <v>0</v>
      </c>
      <c r="H43" s="19">
        <f>('4Q 2021 Sales by Region Report'!H45)/1000000</f>
        <v>17.466822319999999</v>
      </c>
      <c r="I43" s="2">
        <v>0</v>
      </c>
      <c r="J43" s="9">
        <f>('4Q 2021 Sales by Region Report'!J45)/1000000</f>
        <v>-1.2947440000000001E-2</v>
      </c>
      <c r="K43" s="9">
        <f>('4Q 2021 Sales by Region Report'!K45)/1000000</f>
        <v>2.94711452</v>
      </c>
      <c r="L43" s="9">
        <f>('4Q 2021 Sales by Region Report'!L45)/1000000</f>
        <v>1.08837341</v>
      </c>
      <c r="M43" s="9">
        <f>('4Q 2021 Sales by Region Report'!M45)/1000000</f>
        <v>14.862770830000001</v>
      </c>
      <c r="N43" s="9">
        <f>('4Q 2021 Sales by Region Report'!N45)/1000000</f>
        <v>0.63176942000000003</v>
      </c>
      <c r="O43" s="9">
        <f>('4Q 2021 Sales by Region Report'!O45)/1000000</f>
        <v>1.7999999970197678E-7</v>
      </c>
      <c r="P43" s="19">
        <f>('4Q 2021 Sales by Region Report'!P45)/1000000</f>
        <v>19.517080920000001</v>
      </c>
    </row>
    <row r="44" spans="1:16" x14ac:dyDescent="0.25">
      <c r="A44" s="8" t="s">
        <v>32</v>
      </c>
      <c r="B44" s="18">
        <f>('4Q 2021 Sales by Region Report'!B46)/1000000</f>
        <v>0.61310330000000002</v>
      </c>
      <c r="C44" s="18">
        <f>('4Q 2021 Sales by Region Report'!C46)/1000000</f>
        <v>3.6797337099999998</v>
      </c>
      <c r="D44" s="18">
        <f>('4Q 2021 Sales by Region Report'!D46)/1000000</f>
        <v>4.6219146100000001</v>
      </c>
      <c r="E44" s="18">
        <f>('4Q 2021 Sales by Region Report'!E46)/1000000</f>
        <v>4.4400139800000007</v>
      </c>
      <c r="F44" s="18">
        <f>('4Q 2021 Sales by Region Report'!F46)/1000000</f>
        <v>1.2005775300000001</v>
      </c>
      <c r="G44" s="18">
        <f>('4Q 2021 Sales by Region Report'!G46)/1000000</f>
        <v>0</v>
      </c>
      <c r="H44" s="19">
        <f>('4Q 2021 Sales by Region Report'!H46)/1000000</f>
        <v>14.555343130000001</v>
      </c>
      <c r="I44" s="2">
        <v>0</v>
      </c>
      <c r="J44" s="9">
        <f>('4Q 2021 Sales by Region Report'!J46)/1000000</f>
        <v>0.53784213999999997</v>
      </c>
      <c r="K44" s="9">
        <f>('4Q 2021 Sales by Region Report'!K46)/1000000</f>
        <v>4.7100950199999998</v>
      </c>
      <c r="L44" s="9">
        <f>('4Q 2021 Sales by Region Report'!L46)/1000000</f>
        <v>4.07431418</v>
      </c>
      <c r="M44" s="9">
        <f>('4Q 2021 Sales by Region Report'!M46)/1000000</f>
        <v>5.6329374300000001</v>
      </c>
      <c r="N44" s="9">
        <f>('4Q 2021 Sales by Region Report'!N46)/1000000</f>
        <v>1.2469619599999999</v>
      </c>
      <c r="O44" s="9">
        <f>('4Q 2021 Sales by Region Report'!O46)/1000000</f>
        <v>4.3999999947845934E-7</v>
      </c>
      <c r="P44" s="19">
        <f>('4Q 2021 Sales by Region Report'!P46)/1000000</f>
        <v>16.20215117</v>
      </c>
    </row>
    <row r="45" spans="1:16" s="12" customFormat="1" ht="14" x14ac:dyDescent="0.25">
      <c r="A45" s="11" t="s">
        <v>44</v>
      </c>
      <c r="B45" s="18">
        <f>('4Q 2021 Sales by Region Report'!B47)/1000000</f>
        <v>7.0194294500000005</v>
      </c>
      <c r="C45" s="18">
        <f>('4Q 2021 Sales by Region Report'!C47)/1000000</f>
        <v>16.41080509</v>
      </c>
      <c r="D45" s="18">
        <f>('4Q 2021 Sales by Region Report'!D47)/1000000</f>
        <v>1.8368427600000055</v>
      </c>
      <c r="E45" s="18">
        <f>('4Q 2021 Sales by Region Report'!E47)/1000000</f>
        <v>32.97137627</v>
      </c>
      <c r="F45" s="18">
        <f>('4Q 2021 Sales by Region Report'!F47)/1000000</f>
        <v>7.2838585399999989</v>
      </c>
      <c r="G45" s="18">
        <f>('4Q 2021 Sales by Region Report'!G47)/1000000</f>
        <v>-0.62806427000000331</v>
      </c>
      <c r="H45" s="19">
        <f>('4Q 2021 Sales by Region Report'!H47)/1000000</f>
        <v>64.894247840000006</v>
      </c>
      <c r="I45" s="12">
        <v>0</v>
      </c>
      <c r="J45" s="9">
        <f>('4Q 2021 Sales by Region Report'!J47)/1000000</f>
        <v>9.4550901399999994</v>
      </c>
      <c r="K45" s="9">
        <f>('4Q 2021 Sales by Region Report'!K47)/1000000</f>
        <v>13.624888159999996</v>
      </c>
      <c r="L45" s="9">
        <f>('4Q 2021 Sales by Region Report'!L47)/1000000</f>
        <v>1.2695603700000011</v>
      </c>
      <c r="M45" s="9">
        <f>('4Q 2021 Sales by Region Report'!M47)/1000000</f>
        <v>30.994807209999998</v>
      </c>
      <c r="N45" s="9">
        <f>('4Q 2021 Sales by Region Report'!N47)/1000000</f>
        <v>4.1993595900000003</v>
      </c>
      <c r="O45" s="9">
        <f>('4Q 2021 Sales by Region Report'!O47)/1000000</f>
        <v>-8.4667710000008348E-2</v>
      </c>
      <c r="P45" s="19">
        <f>('4Q 2021 Sales by Region Report'!P47)/1000000</f>
        <v>59.459037759999994</v>
      </c>
    </row>
    <row r="46" spans="1:16" s="12" customFormat="1" ht="14" x14ac:dyDescent="0.25">
      <c r="A46" s="16" t="s">
        <v>45</v>
      </c>
      <c r="B46" s="18">
        <f>('4Q 2021 Sales by Region Report'!B50+'4Q 2021 Sales by Region Report'!B52)/1000000</f>
        <v>-2.8141241400000001</v>
      </c>
      <c r="C46" s="18">
        <f>('4Q 2021 Sales by Region Report'!C50+'4Q 2021 Sales by Region Report'!C52)/1000000</f>
        <v>-5.641417E-2</v>
      </c>
      <c r="D46" s="9">
        <f>('4Q 2021 Sales by Region Report'!D50+'4Q 2021 Sales by Region Report'!D52)/1000000</f>
        <v>0</v>
      </c>
      <c r="E46" s="18">
        <f>('4Q 2021 Sales by Region Report'!E50+'4Q 2021 Sales by Region Report'!E52)/1000000</f>
        <v>-8.7849744899999997</v>
      </c>
      <c r="F46" s="18">
        <f>('4Q 2021 Sales by Region Report'!F50+'4Q 2021 Sales by Region Report'!F52)/1000000</f>
        <v>9.1237640000000009E-2</v>
      </c>
      <c r="G46" s="18">
        <f>('4Q 2021 Sales by Region Report'!G50+'4Q 2021 Sales by Region Report'!G52)/1000000</f>
        <v>44.24856905</v>
      </c>
      <c r="H46" s="19">
        <f>('4Q 2021 Sales by Region Report'!H50+'4Q 2021 Sales by Region Report'!H52)/1000000</f>
        <v>32.684293889999999</v>
      </c>
      <c r="I46" s="12">
        <v>0</v>
      </c>
      <c r="J46" s="9">
        <f>('4Q 2021 Sales by Region Report'!J50+'4Q 2021 Sales by Region Report'!J52)/1000000</f>
        <v>-0.59985809000000001</v>
      </c>
      <c r="K46" s="9">
        <f>('4Q 2021 Sales by Region Report'!K50+'4Q 2021 Sales by Region Report'!K52)/1000000</f>
        <v>0.50398454999999998</v>
      </c>
      <c r="L46" s="9">
        <f>('4Q 2021 Sales by Region Report'!L50+'4Q 2021 Sales by Region Report'!L52)/1000000</f>
        <v>0</v>
      </c>
      <c r="M46" s="9">
        <f>('4Q 2021 Sales by Region Report'!M50+'4Q 2021 Sales by Region Report'!M52)/1000000</f>
        <v>-4.04576505</v>
      </c>
      <c r="N46" s="9">
        <f>('4Q 2021 Sales by Region Report'!N50+'4Q 2021 Sales by Region Report'!N52)/1000000</f>
        <v>-0.15682546</v>
      </c>
      <c r="O46" s="9">
        <f>('4Q 2021 Sales by Region Report'!O50+'4Q 2021 Sales by Region Report'!O52)/1000000</f>
        <v>61.078267169999997</v>
      </c>
      <c r="P46" s="19">
        <f>('4Q 2021 Sales by Region Report'!P50+'4Q 2021 Sales by Region Report'!P52)/1000000</f>
        <v>56.779803119999997</v>
      </c>
    </row>
    <row r="47" spans="1:16" ht="12" thickBot="1" x14ac:dyDescent="0.3">
      <c r="A47" s="1" t="s">
        <v>40</v>
      </c>
      <c r="B47" s="28">
        <f>('4Q 2021 Sales by Region Report'!B53)/1000000</f>
        <v>347.18741175999997</v>
      </c>
      <c r="C47" s="28">
        <f>('4Q 2021 Sales by Region Report'!C53)/1000000</f>
        <v>299.09194007999997</v>
      </c>
      <c r="D47" s="28">
        <f>('4Q 2021 Sales by Region Report'!D53)/1000000</f>
        <v>239.64341668</v>
      </c>
      <c r="E47" s="28">
        <f>('4Q 2021 Sales by Region Report'!E53)/1000000</f>
        <v>427.40315894999998</v>
      </c>
      <c r="F47" s="28">
        <f>('4Q 2021 Sales by Region Report'!F53)/1000000</f>
        <v>245.60215456</v>
      </c>
      <c r="G47" s="28">
        <f>('4Q 2021 Sales by Region Report'!G53)/1000000</f>
        <v>44.577711100000144</v>
      </c>
      <c r="H47" s="29">
        <f>('4Q 2021 Sales by Region Report'!H53)/1000000</f>
        <v>1603.50579313</v>
      </c>
      <c r="I47" s="30">
        <v>0</v>
      </c>
      <c r="J47" s="28">
        <f>('4Q 2021 Sales by Region Report'!J53)/1000000</f>
        <v>339.91193957000002</v>
      </c>
      <c r="K47" s="28">
        <f>('4Q 2021 Sales by Region Report'!K53)/1000000</f>
        <v>345.00921314999999</v>
      </c>
      <c r="L47" s="28">
        <f>('4Q 2021 Sales by Region Report'!L53)/1000000</f>
        <v>218.32639441999999</v>
      </c>
      <c r="M47" s="28">
        <f>('4Q 2021 Sales by Region Report'!M53)/1000000</f>
        <v>440.44059983999995</v>
      </c>
      <c r="N47" s="28">
        <f>('4Q 2021 Sales by Region Report'!N53)/1000000</f>
        <v>207.86524359999999</v>
      </c>
      <c r="O47" s="28">
        <f>('4Q 2021 Sales by Region Report'!O53)/1000000</f>
        <v>61.170013970000028</v>
      </c>
      <c r="P47" s="29">
        <f>('4Q 2021 Sales by Region Report'!P53)/1000000</f>
        <v>1612.7234045499999</v>
      </c>
    </row>
    <row r="48" spans="1:16" ht="12" thickTop="1" x14ac:dyDescent="0.25"/>
    <row r="49" spans="1:1" x14ac:dyDescent="0.25">
      <c r="A49" s="17" t="s">
        <v>41</v>
      </c>
    </row>
    <row r="50" spans="1:1" ht="14" x14ac:dyDescent="0.25">
      <c r="A50" s="17" t="s">
        <v>42</v>
      </c>
    </row>
    <row r="51" spans="1:1" ht="14" x14ac:dyDescent="0.25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69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4122-9E3E-4299-9C1C-58062336641C}">
  <sheetPr codeName="Sheet4"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1640625" defaultRowHeight="11.5" x14ac:dyDescent="0.25"/>
  <cols>
    <col min="1" max="1" width="36.08984375" style="2" customWidth="1"/>
    <col min="2" max="2" width="9.7265625" style="2" customWidth="1"/>
    <col min="3" max="3" width="8.7265625" style="2" customWidth="1"/>
    <col min="4" max="4" width="11" style="2" bestFit="1" customWidth="1"/>
    <col min="5" max="5" width="7.54296875" style="2" customWidth="1"/>
    <col min="6" max="6" width="11" style="2" bestFit="1" customWidth="1"/>
    <col min="7" max="7" width="10.1796875" style="2" bestFit="1" customWidth="1"/>
    <col min="8" max="8" width="12.26953125" style="2" bestFit="1" customWidth="1"/>
    <col min="9" max="9" width="1.26953125" style="2" customWidth="1"/>
    <col min="10" max="10" width="8.81640625" style="2" customWidth="1"/>
    <col min="11" max="11" width="7.54296875" style="2" customWidth="1"/>
    <col min="12" max="12" width="11" style="2" bestFit="1" customWidth="1"/>
    <col min="13" max="13" width="8.36328125" style="2" customWidth="1"/>
    <col min="14" max="14" width="11" style="2" bestFit="1" customWidth="1"/>
    <col min="15" max="15" width="9.90625" style="2" bestFit="1" customWidth="1"/>
    <col min="16" max="16" width="12.26953125" style="2" bestFit="1" customWidth="1"/>
    <col min="17" max="16384" width="8.81640625" style="2"/>
  </cols>
  <sheetData>
    <row r="1" spans="1:16" s="1" customFormat="1" x14ac:dyDescent="0.25">
      <c r="A1" s="1" t="s">
        <v>39</v>
      </c>
    </row>
    <row r="3" spans="1:16" x14ac:dyDescent="0.25">
      <c r="B3" s="88" t="s">
        <v>54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5">
      <c r="B4" s="90">
        <v>2021</v>
      </c>
      <c r="C4" s="90"/>
      <c r="D4" s="90"/>
      <c r="E4" s="90"/>
      <c r="F4" s="90"/>
      <c r="G4" s="90"/>
      <c r="H4" s="90"/>
      <c r="J4" s="88">
        <v>2020</v>
      </c>
      <c r="K4" s="88"/>
      <c r="L4" s="88"/>
      <c r="M4" s="88"/>
      <c r="N4" s="88"/>
      <c r="O4" s="88"/>
      <c r="P4" s="88"/>
    </row>
    <row r="5" spans="1:16" s="1" customFormat="1" ht="43.5" customHeight="1" x14ac:dyDescent="0.25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5">
      <c r="A6" s="6" t="s">
        <v>7</v>
      </c>
      <c r="E6" s="27"/>
      <c r="F6" s="27"/>
      <c r="H6" s="7"/>
      <c r="P6" s="7"/>
    </row>
    <row r="7" spans="1:16" x14ac:dyDescent="0.25">
      <c r="A7" s="8" t="s">
        <v>51</v>
      </c>
      <c r="B7" s="22">
        <v>119.63234698000001</v>
      </c>
      <c r="C7" s="22">
        <v>9.2003625899999992</v>
      </c>
      <c r="D7" s="22">
        <v>0.11376914</v>
      </c>
      <c r="E7" s="22">
        <v>21.544083870000001</v>
      </c>
      <c r="F7" s="22">
        <v>24.680018889999999</v>
      </c>
      <c r="G7" s="22">
        <v>-0.43662150000002981</v>
      </c>
      <c r="H7" s="23">
        <v>174.73395997</v>
      </c>
      <c r="I7" s="24">
        <v>0</v>
      </c>
      <c r="J7" s="24">
        <v>136.94912525000001</v>
      </c>
      <c r="K7" s="24">
        <v>5.8587518200000002</v>
      </c>
      <c r="L7" s="24">
        <v>0.12571153999999998</v>
      </c>
      <c r="M7" s="24">
        <v>18.512352149999998</v>
      </c>
      <c r="N7" s="24">
        <v>27.342862670000002</v>
      </c>
      <c r="O7" s="24">
        <v>3.6569999992847441E-5</v>
      </c>
      <c r="P7" s="23">
        <v>188.78883999999999</v>
      </c>
    </row>
    <row r="8" spans="1:16" x14ac:dyDescent="0.25">
      <c r="A8" s="8" t="s">
        <v>9</v>
      </c>
      <c r="B8" s="18">
        <v>28.89745452</v>
      </c>
      <c r="C8" s="18">
        <v>5.4197284114880002</v>
      </c>
      <c r="D8" s="18">
        <v>16.392063109999999</v>
      </c>
      <c r="E8" s="18">
        <v>8.3383581400000004</v>
      </c>
      <c r="F8" s="18">
        <v>2.0514383199999999</v>
      </c>
      <c r="G8" s="18">
        <v>0</v>
      </c>
      <c r="H8" s="19">
        <v>61.099042501488</v>
      </c>
      <c r="I8" s="2">
        <v>0</v>
      </c>
      <c r="J8" s="9">
        <v>19.8360375</v>
      </c>
      <c r="K8" s="9">
        <v>4.8405853499999996</v>
      </c>
      <c r="L8" s="9">
        <v>14.752849230000001</v>
      </c>
      <c r="M8" s="9">
        <v>9.2710140699999997</v>
      </c>
      <c r="N8" s="9">
        <v>1.7563657099999999</v>
      </c>
      <c r="O8" s="9">
        <v>6.3140000000596049E-5</v>
      </c>
      <c r="P8" s="19">
        <v>50.456915000000002</v>
      </c>
    </row>
    <row r="9" spans="1:16" x14ac:dyDescent="0.25">
      <c r="A9" s="8" t="s">
        <v>8</v>
      </c>
      <c r="B9" s="18">
        <v>20.976347559999997</v>
      </c>
      <c r="C9" s="18">
        <v>0.41907121999999997</v>
      </c>
      <c r="D9" s="18">
        <v>0</v>
      </c>
      <c r="E9" s="18">
        <v>19.26027955</v>
      </c>
      <c r="F9" s="18">
        <v>8.0338239300000005</v>
      </c>
      <c r="G9" s="18">
        <v>0</v>
      </c>
      <c r="H9" s="19">
        <v>48.689522259999997</v>
      </c>
      <c r="I9" s="2">
        <v>0</v>
      </c>
      <c r="J9" s="9">
        <v>24.573531160000002</v>
      </c>
      <c r="K9" s="9">
        <v>0.44623431000000002</v>
      </c>
      <c r="L9" s="9">
        <v>0</v>
      </c>
      <c r="M9" s="9">
        <v>23.884053859999998</v>
      </c>
      <c r="N9" s="9">
        <v>9.0972811900000004</v>
      </c>
      <c r="O9" s="9">
        <v>4.9480000004172322E-5</v>
      </c>
      <c r="P9" s="19">
        <v>58.001150000000003</v>
      </c>
    </row>
    <row r="10" spans="1:16" x14ac:dyDescent="0.25">
      <c r="A10" s="8" t="s">
        <v>52</v>
      </c>
      <c r="B10" s="18">
        <v>5.3106023699999998</v>
      </c>
      <c r="C10" s="18">
        <v>4.7888210500000001</v>
      </c>
      <c r="D10" s="18">
        <v>6.2088435400000002</v>
      </c>
      <c r="E10" s="18">
        <v>7.1219341100000007</v>
      </c>
      <c r="F10" s="18">
        <v>1.8718683700000001</v>
      </c>
      <c r="G10" s="18">
        <v>0</v>
      </c>
      <c r="H10" s="19">
        <v>25.30206944</v>
      </c>
      <c r="I10" s="2">
        <v>0</v>
      </c>
      <c r="J10" s="9">
        <v>4.40632001</v>
      </c>
      <c r="K10" s="9">
        <v>6.3590250399999997</v>
      </c>
      <c r="L10" s="9">
        <v>5.0014579900000005</v>
      </c>
      <c r="M10" s="9">
        <v>7.6799629600000001</v>
      </c>
      <c r="N10" s="9">
        <v>2.2643941299999999</v>
      </c>
      <c r="O10" s="9">
        <v>4.4870000001043079E-5</v>
      </c>
      <c r="P10" s="19">
        <v>25.711205</v>
      </c>
    </row>
    <row r="11" spans="1:16" x14ac:dyDescent="0.25">
      <c r="A11" s="8" t="s">
        <v>10</v>
      </c>
      <c r="B11" s="18">
        <v>0</v>
      </c>
      <c r="C11" s="18">
        <v>0.46603957000000001</v>
      </c>
      <c r="D11" s="18">
        <v>0</v>
      </c>
      <c r="E11" s="18">
        <v>11.623274329999999</v>
      </c>
      <c r="F11" s="18">
        <v>6.3869379400000001</v>
      </c>
      <c r="G11" s="18">
        <v>0</v>
      </c>
      <c r="H11" s="19">
        <v>18.47625184</v>
      </c>
      <c r="I11" s="2">
        <v>0</v>
      </c>
      <c r="J11" s="9">
        <v>0</v>
      </c>
      <c r="K11" s="9">
        <v>0.43183359999999998</v>
      </c>
      <c r="L11" s="9">
        <v>0</v>
      </c>
      <c r="M11" s="9">
        <v>11.68658336</v>
      </c>
      <c r="N11" s="9">
        <v>6.1808127199999996</v>
      </c>
      <c r="O11" s="9">
        <v>4.032000000029802E-5</v>
      </c>
      <c r="P11" s="19">
        <v>18.29927</v>
      </c>
    </row>
    <row r="12" spans="1:16" s="12" customFormat="1" ht="14" x14ac:dyDescent="0.25">
      <c r="A12" s="11" t="s">
        <v>50</v>
      </c>
      <c r="B12" s="18">
        <v>18.353382719999999</v>
      </c>
      <c r="C12" s="18">
        <v>11.611894440000002</v>
      </c>
      <c r="D12" s="18">
        <v>0</v>
      </c>
      <c r="E12" s="18">
        <v>11.171922040000007</v>
      </c>
      <c r="F12" s="18">
        <v>11.527830460000001</v>
      </c>
      <c r="G12" s="18">
        <v>0</v>
      </c>
      <c r="H12" s="19">
        <v>52.665029660000023</v>
      </c>
      <c r="I12" s="12">
        <v>0</v>
      </c>
      <c r="J12" s="9">
        <v>44.832019660000029</v>
      </c>
      <c r="K12" s="9">
        <v>12.0180317</v>
      </c>
      <c r="L12" s="9">
        <v>3.7252902984619139E-15</v>
      </c>
      <c r="M12" s="9">
        <v>11.124131849999994</v>
      </c>
      <c r="N12" s="9">
        <v>14.587419460000001</v>
      </c>
      <c r="O12" s="9">
        <v>8.1339999973773953E-5</v>
      </c>
      <c r="P12" s="19">
        <v>82.561684009999993</v>
      </c>
    </row>
    <row r="13" spans="1:16" s="12" customFormat="1" x14ac:dyDescent="0.25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5">
      <c r="A14" s="8" t="s">
        <v>11</v>
      </c>
      <c r="B14" s="18">
        <v>48.339494780000003</v>
      </c>
      <c r="C14" s="18">
        <v>1.04816208</v>
      </c>
      <c r="D14" s="18">
        <v>0</v>
      </c>
      <c r="E14" s="18">
        <v>4.8364787699999994</v>
      </c>
      <c r="F14" s="18">
        <v>0</v>
      </c>
      <c r="G14" s="18">
        <v>0</v>
      </c>
      <c r="H14" s="19">
        <v>54.224135629999999</v>
      </c>
      <c r="I14" s="2">
        <v>0</v>
      </c>
      <c r="J14" s="9">
        <v>34.081822469999999</v>
      </c>
      <c r="K14" s="9">
        <v>1.04064914</v>
      </c>
      <c r="L14" s="9">
        <v>0</v>
      </c>
      <c r="M14" s="9">
        <v>2.4744428300000001</v>
      </c>
      <c r="N14" s="9">
        <v>0</v>
      </c>
      <c r="O14" s="9">
        <v>3.1560000002384184E-5</v>
      </c>
      <c r="P14" s="19">
        <v>37.596946000000003</v>
      </c>
    </row>
    <row r="15" spans="1:16" x14ac:dyDescent="0.25">
      <c r="A15" s="8" t="s">
        <v>13</v>
      </c>
      <c r="B15" s="18">
        <v>8.6815971600000008</v>
      </c>
      <c r="C15" s="18">
        <v>0.61355856000000009</v>
      </c>
      <c r="D15" s="18">
        <v>0</v>
      </c>
      <c r="E15" s="18">
        <v>11.644705400000001</v>
      </c>
      <c r="F15" s="18">
        <v>34.683985880000002</v>
      </c>
      <c r="G15" s="18">
        <v>0</v>
      </c>
      <c r="H15" s="19">
        <v>55.623846999999998</v>
      </c>
      <c r="I15" s="2">
        <v>0</v>
      </c>
      <c r="J15" s="9">
        <v>0.32590429999999998</v>
      </c>
      <c r="K15" s="9">
        <v>0.2643683</v>
      </c>
      <c r="L15" s="9">
        <v>0</v>
      </c>
      <c r="M15" s="9">
        <v>20.41104837</v>
      </c>
      <c r="N15" s="9">
        <v>16.54607708</v>
      </c>
      <c r="O15" s="9">
        <v>2.1949999995529653E-5</v>
      </c>
      <c r="P15" s="19">
        <v>37.547420000000002</v>
      </c>
    </row>
    <row r="16" spans="1:16" x14ac:dyDescent="0.25">
      <c r="A16" s="8" t="s">
        <v>14</v>
      </c>
      <c r="B16" s="18">
        <v>0</v>
      </c>
      <c r="C16" s="18">
        <v>4.7537315300000005</v>
      </c>
      <c r="D16" s="18">
        <v>0</v>
      </c>
      <c r="E16" s="18">
        <v>6.1937216299999998</v>
      </c>
      <c r="F16" s="18">
        <v>2.88454225</v>
      </c>
      <c r="G16" s="18">
        <v>0</v>
      </c>
      <c r="H16" s="19">
        <v>13.831995409999999</v>
      </c>
      <c r="I16" s="2">
        <v>0</v>
      </c>
      <c r="J16" s="9">
        <v>0</v>
      </c>
      <c r="K16" s="9">
        <v>4.5683094000000004</v>
      </c>
      <c r="L16" s="9">
        <v>0</v>
      </c>
      <c r="M16" s="9">
        <v>4.5839570499999995</v>
      </c>
      <c r="N16" s="9">
        <v>13.72675387</v>
      </c>
      <c r="O16" s="9">
        <v>4.6799999997019766E-6</v>
      </c>
      <c r="P16" s="19">
        <v>22.879024999999999</v>
      </c>
    </row>
    <row r="17" spans="1:16" ht="14" x14ac:dyDescent="0.25">
      <c r="A17" s="8" t="s">
        <v>49</v>
      </c>
      <c r="B17" s="18">
        <v>0</v>
      </c>
      <c r="C17" s="18">
        <v>3.3258923100000004</v>
      </c>
      <c r="D17" s="18">
        <v>0</v>
      </c>
      <c r="E17" s="18">
        <v>12.044962190000001</v>
      </c>
      <c r="F17" s="18">
        <v>0</v>
      </c>
      <c r="G17" s="18">
        <v>0</v>
      </c>
      <c r="H17" s="19">
        <v>15.3708545</v>
      </c>
      <c r="I17" s="2">
        <v>0</v>
      </c>
      <c r="J17" s="9">
        <v>7.4505805969238278E-15</v>
      </c>
      <c r="K17" s="9">
        <v>0</v>
      </c>
      <c r="L17" s="9">
        <v>0</v>
      </c>
      <c r="M17" s="9">
        <v>1.0580209999999963</v>
      </c>
      <c r="N17" s="9">
        <v>0</v>
      </c>
      <c r="O17" s="9">
        <v>9.9999999627470967E-7</v>
      </c>
      <c r="P17" s="19">
        <v>1.058022</v>
      </c>
    </row>
    <row r="18" spans="1:16" x14ac:dyDescent="0.25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5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5">
      <c r="A20" s="8" t="s">
        <v>15</v>
      </c>
      <c r="B20" s="18">
        <v>1.44919628</v>
      </c>
      <c r="C20" s="18">
        <v>16.319668359999998</v>
      </c>
      <c r="D20" s="18">
        <v>45.355010540000002</v>
      </c>
      <c r="E20" s="18">
        <v>22.66456122</v>
      </c>
      <c r="F20" s="18">
        <v>5.6140598300000004</v>
      </c>
      <c r="G20" s="18">
        <v>0</v>
      </c>
      <c r="H20" s="19">
        <v>91.402496230000011</v>
      </c>
      <c r="I20" s="2">
        <v>0</v>
      </c>
      <c r="J20" s="9">
        <v>-0.68786868000000001</v>
      </c>
      <c r="K20" s="9">
        <v>39.044490850000003</v>
      </c>
      <c r="L20" s="9">
        <v>30.392962570000002</v>
      </c>
      <c r="M20" s="9">
        <v>25.375928210000001</v>
      </c>
      <c r="N20" s="9">
        <v>8.4743537899999986</v>
      </c>
      <c r="O20" s="9">
        <v>6.1259999990463256E-5</v>
      </c>
      <c r="P20" s="19">
        <v>102.59992800000001</v>
      </c>
    </row>
    <row r="21" spans="1:16" x14ac:dyDescent="0.25">
      <c r="A21" s="11" t="s">
        <v>16</v>
      </c>
      <c r="B21" s="18">
        <v>2.58515323</v>
      </c>
      <c r="C21" s="18">
        <v>8.8240330599999997</v>
      </c>
      <c r="D21" s="18">
        <v>0.44307740999999995</v>
      </c>
      <c r="E21" s="18">
        <v>17.251916829999999</v>
      </c>
      <c r="F21" s="18">
        <v>11.84894091</v>
      </c>
      <c r="G21" s="18">
        <v>8.7834250000000003E-2</v>
      </c>
      <c r="H21" s="19">
        <v>41.040955689999997</v>
      </c>
      <c r="I21" s="2">
        <v>0</v>
      </c>
      <c r="J21" s="9">
        <v>3.2943439199999998</v>
      </c>
      <c r="K21" s="9">
        <v>9.5671952300000012</v>
      </c>
      <c r="L21" s="9">
        <v>0.41595167999999999</v>
      </c>
      <c r="M21" s="9">
        <v>23.062336890000001</v>
      </c>
      <c r="N21" s="9">
        <v>10.691933539999999</v>
      </c>
      <c r="O21" s="9">
        <v>4.7740000002086161E-5</v>
      </c>
      <c r="P21" s="19">
        <v>47.031809000000003</v>
      </c>
    </row>
    <row r="22" spans="1:16" x14ac:dyDescent="0.25">
      <c r="A22" s="8" t="s">
        <v>17</v>
      </c>
      <c r="B22" s="18">
        <v>0</v>
      </c>
      <c r="C22" s="18">
        <v>34.770639500000001</v>
      </c>
      <c r="D22" s="18">
        <v>0</v>
      </c>
      <c r="E22" s="18">
        <v>72.077807379999996</v>
      </c>
      <c r="F22" s="18">
        <v>7.3891553400000003</v>
      </c>
      <c r="G22" s="18">
        <v>0</v>
      </c>
      <c r="H22" s="19">
        <v>114.23760222</v>
      </c>
      <c r="I22" s="2">
        <v>0</v>
      </c>
      <c r="J22" s="9">
        <v>0</v>
      </c>
      <c r="K22" s="9">
        <v>32.961922989999998</v>
      </c>
      <c r="L22" s="9">
        <v>0</v>
      </c>
      <c r="M22" s="9">
        <v>73.033147459999995</v>
      </c>
      <c r="N22" s="9">
        <v>4.6089128800000001</v>
      </c>
      <c r="O22" s="9">
        <v>4.1670000016689299E-5</v>
      </c>
      <c r="P22" s="19">
        <v>110.60402499999999</v>
      </c>
    </row>
    <row r="23" spans="1:16" x14ac:dyDescent="0.25">
      <c r="A23" s="8" t="s">
        <v>18</v>
      </c>
      <c r="B23" s="18">
        <v>0</v>
      </c>
      <c r="C23" s="18">
        <v>15.06619087</v>
      </c>
      <c r="D23" s="18">
        <v>0</v>
      </c>
      <c r="E23" s="18">
        <v>0</v>
      </c>
      <c r="F23" s="18">
        <v>0.13120082</v>
      </c>
      <c r="G23" s="18">
        <v>0</v>
      </c>
      <c r="H23" s="19">
        <v>15.19739169</v>
      </c>
      <c r="I23" s="2">
        <v>0</v>
      </c>
      <c r="J23" s="9">
        <v>0</v>
      </c>
      <c r="K23" s="9">
        <v>31.811351800000001</v>
      </c>
      <c r="L23" s="9">
        <v>0</v>
      </c>
      <c r="M23" s="9">
        <v>0</v>
      </c>
      <c r="N23" s="9">
        <v>0</v>
      </c>
      <c r="O23" s="9">
        <v>-2.8000000007450581E-6</v>
      </c>
      <c r="P23" s="19">
        <v>31.811349</v>
      </c>
    </row>
    <row r="24" spans="1:16" x14ac:dyDescent="0.25">
      <c r="A24" s="8" t="s">
        <v>19</v>
      </c>
      <c r="B24" s="18">
        <v>3.3301982799999998</v>
      </c>
      <c r="C24" s="18">
        <v>26.157043120000001</v>
      </c>
      <c r="D24" s="18">
        <v>39.492711999999997</v>
      </c>
      <c r="E24" s="18">
        <v>8.7427900300000001</v>
      </c>
      <c r="F24" s="18">
        <v>9.9256153299999994</v>
      </c>
      <c r="G24" s="18">
        <v>0</v>
      </c>
      <c r="H24" s="19">
        <v>87.648358760000008</v>
      </c>
      <c r="I24" s="2">
        <v>0</v>
      </c>
      <c r="J24" s="9">
        <v>5.30880492</v>
      </c>
      <c r="K24" s="9">
        <v>27.604823660000001</v>
      </c>
      <c r="L24" s="9">
        <v>39.476123350000002</v>
      </c>
      <c r="M24" s="9">
        <v>10.085524640000001</v>
      </c>
      <c r="N24" s="9">
        <v>8.786279050000001</v>
      </c>
      <c r="O24" s="9">
        <v>1.4937999999523163E-4</v>
      </c>
      <c r="P24" s="19">
        <v>91.261705000000006</v>
      </c>
    </row>
    <row r="25" spans="1:16" x14ac:dyDescent="0.25">
      <c r="A25" s="8" t="s">
        <v>20</v>
      </c>
      <c r="B25" s="18">
        <v>1.1616261999999999</v>
      </c>
      <c r="C25" s="18">
        <v>3.8268344900000004</v>
      </c>
      <c r="D25" s="18">
        <v>6.5138021399999992</v>
      </c>
      <c r="E25" s="18">
        <v>4.1715406499999999</v>
      </c>
      <c r="F25" s="18">
        <v>2.5253835200000001</v>
      </c>
      <c r="G25" s="18">
        <v>0</v>
      </c>
      <c r="H25" s="19">
        <v>18.199186999999998</v>
      </c>
      <c r="I25" s="2">
        <v>0</v>
      </c>
      <c r="J25" s="9">
        <v>1.1954153200000002</v>
      </c>
      <c r="K25" s="9">
        <v>3.8965761899999998</v>
      </c>
      <c r="L25" s="9">
        <v>6.4860232800000004</v>
      </c>
      <c r="M25" s="9">
        <v>5.2122106800000001</v>
      </c>
      <c r="N25" s="9">
        <v>1.5339930800000001</v>
      </c>
      <c r="O25" s="9">
        <v>2.6450000002980234E-5</v>
      </c>
      <c r="P25" s="19">
        <v>18.324245000000001</v>
      </c>
    </row>
    <row r="26" spans="1:16" s="12" customFormat="1" ht="14" x14ac:dyDescent="0.25">
      <c r="A26" s="11" t="s">
        <v>48</v>
      </c>
      <c r="B26" s="18">
        <v>1.8626451492309569E-15</v>
      </c>
      <c r="C26" s="18">
        <v>13.471903669999987</v>
      </c>
      <c r="D26" s="18">
        <v>2.6534900000095367E-3</v>
      </c>
      <c r="E26" s="18">
        <v>11.858893720000014</v>
      </c>
      <c r="F26" s="18">
        <v>5.7418558499999941</v>
      </c>
      <c r="G26" s="18">
        <v>0</v>
      </c>
      <c r="H26" s="19">
        <v>31.075306730000019</v>
      </c>
      <c r="I26" s="12">
        <v>0</v>
      </c>
      <c r="J26" s="9">
        <v>0</v>
      </c>
      <c r="K26" s="9">
        <v>15.936694780000002</v>
      </c>
      <c r="L26" s="9">
        <v>2.378969999998808E-3</v>
      </c>
      <c r="M26" s="9">
        <v>14.770478900000006</v>
      </c>
      <c r="N26" s="9">
        <v>6.0686411000000016</v>
      </c>
      <c r="O26" s="9">
        <v>6.4269999973475935E-5</v>
      </c>
      <c r="P26" s="19">
        <v>36.778258019999981</v>
      </c>
    </row>
    <row r="27" spans="1:16" s="12" customFormat="1" x14ac:dyDescent="0.25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5">
      <c r="A28" s="8" t="s">
        <v>21</v>
      </c>
      <c r="B28" s="18">
        <v>2.4467502400000001</v>
      </c>
      <c r="C28" s="18">
        <v>37.437553460000004</v>
      </c>
      <c r="D28" s="18">
        <v>39.090966829999999</v>
      </c>
      <c r="E28" s="18">
        <v>14.27105851</v>
      </c>
      <c r="F28" s="18">
        <v>7.6651389000000005</v>
      </c>
      <c r="G28" s="18">
        <v>0</v>
      </c>
      <c r="H28" s="19">
        <v>100.91146793999999</v>
      </c>
      <c r="I28" s="2">
        <v>0</v>
      </c>
      <c r="J28" s="9">
        <v>4.4412968899999994</v>
      </c>
      <c r="K28" s="9">
        <v>38.227603939999995</v>
      </c>
      <c r="L28" s="9">
        <v>15.77130024</v>
      </c>
      <c r="M28" s="9">
        <v>14.171741920000001</v>
      </c>
      <c r="N28" s="9">
        <v>9.8274794600000011</v>
      </c>
      <c r="O28" s="9">
        <v>3.6550000011920926E-5</v>
      </c>
      <c r="P28" s="19">
        <v>82.439458999999999</v>
      </c>
    </row>
    <row r="29" spans="1:16" x14ac:dyDescent="0.25">
      <c r="A29" s="8" t="s">
        <v>22</v>
      </c>
      <c r="B29" s="20">
        <v>-0.17611544000000001</v>
      </c>
      <c r="C29" s="20">
        <v>5.0693335399999997</v>
      </c>
      <c r="D29" s="20">
        <v>20.811847710000002</v>
      </c>
      <c r="E29" s="20">
        <v>8.5441309099999998</v>
      </c>
      <c r="F29" s="20">
        <v>13.8555013</v>
      </c>
      <c r="G29" s="18">
        <v>0.22251400000000746</v>
      </c>
      <c r="H29" s="21">
        <v>48.327212020000005</v>
      </c>
      <c r="I29" s="2">
        <v>0</v>
      </c>
      <c r="J29" s="14">
        <v>-0.37617317</v>
      </c>
      <c r="K29" s="14">
        <v>9.8689496899999991</v>
      </c>
      <c r="L29" s="14">
        <v>11.86040116</v>
      </c>
      <c r="M29" s="14">
        <v>7.9976764600000001</v>
      </c>
      <c r="N29" s="14">
        <v>11.747917429999999</v>
      </c>
      <c r="O29" s="14">
        <v>7.8429999999701973E-5</v>
      </c>
      <c r="P29" s="21">
        <v>41.098849999999999</v>
      </c>
    </row>
    <row r="30" spans="1:16" x14ac:dyDescent="0.25">
      <c r="A30" s="11" t="s">
        <v>23</v>
      </c>
      <c r="B30" s="18">
        <v>47.818196360000002</v>
      </c>
      <c r="C30" s="18">
        <v>0</v>
      </c>
      <c r="D30" s="18">
        <v>0</v>
      </c>
      <c r="E30" s="18">
        <v>7.3795614</v>
      </c>
      <c r="F30" s="18">
        <v>0.38005634000000005</v>
      </c>
      <c r="G30" s="18">
        <v>0</v>
      </c>
      <c r="H30" s="19">
        <v>55.577814100000005</v>
      </c>
      <c r="I30" s="2">
        <v>0</v>
      </c>
      <c r="J30" s="9">
        <v>50.76121311</v>
      </c>
      <c r="K30" s="9">
        <v>0</v>
      </c>
      <c r="L30" s="9">
        <v>0</v>
      </c>
      <c r="M30" s="9">
        <v>7.9266420799999997</v>
      </c>
      <c r="N30" s="9">
        <v>0.10025059</v>
      </c>
      <c r="O30" s="9">
        <v>2.0219999998807906E-5</v>
      </c>
      <c r="P30" s="19">
        <v>58.788125999999998</v>
      </c>
    </row>
    <row r="31" spans="1:16" x14ac:dyDescent="0.25">
      <c r="A31" s="8" t="s">
        <v>24</v>
      </c>
      <c r="B31" s="20">
        <v>1.5590483799999999</v>
      </c>
      <c r="C31" s="20">
        <v>9.3100632100000009</v>
      </c>
      <c r="D31" s="18">
        <v>6.214923E-2</v>
      </c>
      <c r="E31" s="20">
        <v>10.750526449999999</v>
      </c>
      <c r="F31" s="20">
        <v>6.4377279700000001</v>
      </c>
      <c r="G31" s="20">
        <v>0</v>
      </c>
      <c r="H31" s="19">
        <v>28.119515239999998</v>
      </c>
      <c r="I31" s="2">
        <v>0</v>
      </c>
      <c r="J31" s="14">
        <v>1.7313000600000001</v>
      </c>
      <c r="K31" s="14">
        <v>6.6363162999999998</v>
      </c>
      <c r="L31" s="14">
        <v>9.8300830000000006E-2</v>
      </c>
      <c r="M31" s="14">
        <v>9.9172951400000002</v>
      </c>
      <c r="N31" s="14">
        <v>6.3807293499999993</v>
      </c>
      <c r="O31" s="14">
        <v>1.0232000000029803E-4</v>
      </c>
      <c r="P31" s="19">
        <v>24.764043999999998</v>
      </c>
    </row>
    <row r="32" spans="1:16" x14ac:dyDescent="0.25">
      <c r="A32" s="11" t="s">
        <v>25</v>
      </c>
      <c r="B32" s="18">
        <v>13.806928710000001</v>
      </c>
      <c r="C32" s="18">
        <v>0.49550725000000001</v>
      </c>
      <c r="D32" s="18">
        <v>0</v>
      </c>
      <c r="E32" s="18">
        <v>1.0814476599999998</v>
      </c>
      <c r="F32" s="18">
        <v>-2.7175000000000001E-2</v>
      </c>
      <c r="G32" s="18">
        <v>0</v>
      </c>
      <c r="H32" s="19">
        <v>15.356708619999999</v>
      </c>
      <c r="I32" s="2">
        <v>0</v>
      </c>
      <c r="J32" s="9">
        <v>20.095449309999999</v>
      </c>
      <c r="K32" s="9">
        <v>0.59586222</v>
      </c>
      <c r="L32" s="9">
        <v>0</v>
      </c>
      <c r="M32" s="9">
        <v>0.84067137999999997</v>
      </c>
      <c r="N32" s="9">
        <v>-4.0420300000000003E-3</v>
      </c>
      <c r="O32" s="9">
        <v>3.1120000004768369E-5</v>
      </c>
      <c r="P32" s="19">
        <v>21.527971999999998</v>
      </c>
    </row>
    <row r="33" spans="1:16" ht="14" x14ac:dyDescent="0.25">
      <c r="A33" s="8" t="s">
        <v>47</v>
      </c>
      <c r="B33" s="18">
        <v>0</v>
      </c>
      <c r="C33" s="18">
        <v>0.51835514999999854</v>
      </c>
      <c r="D33" s="18">
        <v>7.4505805969238278E-15</v>
      </c>
      <c r="E33" s="18">
        <v>0.40900953000000867</v>
      </c>
      <c r="F33" s="18">
        <v>2.2419324299999999</v>
      </c>
      <c r="G33" s="18">
        <v>-2.9802322387695311E-14</v>
      </c>
      <c r="H33" s="19">
        <v>3.1692971099999845</v>
      </c>
      <c r="I33" s="2">
        <v>0</v>
      </c>
      <c r="J33" s="9">
        <v>0</v>
      </c>
      <c r="K33" s="9">
        <v>8.7531583900000083</v>
      </c>
      <c r="L33" s="9">
        <v>3.7252902984619139E-15</v>
      </c>
      <c r="M33" s="9">
        <v>0.63237998999999467</v>
      </c>
      <c r="N33" s="9">
        <v>1.1187573200000041</v>
      </c>
      <c r="O33" s="9">
        <v>-1.7000000104308129E-6</v>
      </c>
      <c r="P33" s="19">
        <v>10.504294</v>
      </c>
    </row>
    <row r="34" spans="1:16" x14ac:dyDescent="0.25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5">
      <c r="A35" s="8" t="s">
        <v>26</v>
      </c>
      <c r="B35" s="18">
        <v>0</v>
      </c>
      <c r="C35" s="18">
        <v>14.152680070000001</v>
      </c>
      <c r="D35" s="18">
        <v>11.745258679999999</v>
      </c>
      <c r="E35" s="18">
        <v>16.238198880000002</v>
      </c>
      <c r="F35" s="18">
        <v>22.979890399999999</v>
      </c>
      <c r="G35" s="18">
        <v>0</v>
      </c>
      <c r="H35" s="19">
        <v>65.116028029999995</v>
      </c>
      <c r="I35" s="2">
        <v>0</v>
      </c>
      <c r="J35" s="9">
        <v>0</v>
      </c>
      <c r="K35" s="9">
        <v>15.00146861</v>
      </c>
      <c r="L35" s="9">
        <v>14.759124880000002</v>
      </c>
      <c r="M35" s="9">
        <v>14.97413435</v>
      </c>
      <c r="N35" s="9">
        <v>23.647394139999999</v>
      </c>
      <c r="O35" s="9">
        <v>-9.9980000004172323E-5</v>
      </c>
      <c r="P35" s="19">
        <v>68.382022000000006</v>
      </c>
    </row>
    <row r="36" spans="1:16" x14ac:dyDescent="0.25">
      <c r="A36" s="8" t="s">
        <v>27</v>
      </c>
      <c r="B36" s="18">
        <v>0.91531667000000005</v>
      </c>
      <c r="C36" s="18">
        <v>10.890846710000002</v>
      </c>
      <c r="D36" s="18">
        <v>19.38886171</v>
      </c>
      <c r="E36" s="18">
        <v>9.8605575399999985</v>
      </c>
      <c r="F36" s="18">
        <v>4.9155190800000002</v>
      </c>
      <c r="G36" s="18">
        <v>0</v>
      </c>
      <c r="H36" s="19">
        <v>45.971101709999999</v>
      </c>
      <c r="I36" s="2">
        <v>0</v>
      </c>
      <c r="J36" s="9">
        <v>1.0377782</v>
      </c>
      <c r="K36" s="9">
        <v>16.088536829999999</v>
      </c>
      <c r="L36" s="9">
        <v>15.01565649</v>
      </c>
      <c r="M36" s="9">
        <v>10.380338570000001</v>
      </c>
      <c r="N36" s="9">
        <v>3.7009684199999997</v>
      </c>
      <c r="O36" s="9">
        <v>6.4489999994635585E-5</v>
      </c>
      <c r="P36" s="19">
        <v>46.223343</v>
      </c>
    </row>
    <row r="37" spans="1:16" x14ac:dyDescent="0.25">
      <c r="A37" s="8" t="s">
        <v>28</v>
      </c>
      <c r="B37" s="18">
        <v>0</v>
      </c>
      <c r="C37" s="18">
        <v>0.8651504499999999</v>
      </c>
      <c r="D37" s="18">
        <v>7.9497266799999995</v>
      </c>
      <c r="E37" s="18">
        <v>5.6242392400000005</v>
      </c>
      <c r="F37" s="18">
        <v>19.78907774</v>
      </c>
      <c r="G37" s="18">
        <v>0</v>
      </c>
      <c r="H37" s="19">
        <v>34.228194109999997</v>
      </c>
      <c r="I37" s="2">
        <v>0</v>
      </c>
      <c r="J37" s="9">
        <v>0</v>
      </c>
      <c r="K37" s="9">
        <v>1.0215586700000001</v>
      </c>
      <c r="L37" s="9">
        <v>6.8663124599999996</v>
      </c>
      <c r="M37" s="9">
        <v>6.8682057599999995</v>
      </c>
      <c r="N37" s="9">
        <v>18.702471719999998</v>
      </c>
      <c r="O37" s="9">
        <v>5.4390000000596046E-5</v>
      </c>
      <c r="P37" s="19">
        <v>33.458602999999997</v>
      </c>
    </row>
    <row r="38" spans="1:16" x14ac:dyDescent="0.25">
      <c r="A38" s="11" t="s">
        <v>29</v>
      </c>
      <c r="B38" s="18">
        <v>0.29097306000000001</v>
      </c>
      <c r="C38" s="18">
        <v>5.6570158399999997</v>
      </c>
      <c r="D38" s="18">
        <v>0</v>
      </c>
      <c r="E38" s="18">
        <v>13.965890460000001</v>
      </c>
      <c r="F38" s="18">
        <v>2.1452300200000001</v>
      </c>
      <c r="G38" s="18">
        <v>0</v>
      </c>
      <c r="H38" s="19">
        <v>22.059109379999999</v>
      </c>
      <c r="I38" s="2">
        <v>0</v>
      </c>
      <c r="J38" s="9">
        <v>0.19191869</v>
      </c>
      <c r="K38" s="9">
        <v>5.89816553</v>
      </c>
      <c r="L38" s="9">
        <v>0</v>
      </c>
      <c r="M38" s="9">
        <v>14.06775801</v>
      </c>
      <c r="N38" s="9">
        <v>2.40475752</v>
      </c>
      <c r="O38" s="9">
        <v>7.2249999999999994E-5</v>
      </c>
      <c r="P38" s="19">
        <v>22.562671999999999</v>
      </c>
    </row>
    <row r="39" spans="1:16" s="12" customFormat="1" ht="14" x14ac:dyDescent="0.25">
      <c r="A39" s="11" t="s">
        <v>46</v>
      </c>
      <c r="B39" s="18">
        <v>9.4854569399999988</v>
      </c>
      <c r="C39" s="18">
        <v>8.3988407667936986</v>
      </c>
      <c r="D39" s="18">
        <v>0</v>
      </c>
      <c r="E39" s="18">
        <v>25.709664129999997</v>
      </c>
      <c r="F39" s="18">
        <v>12.237761820000001</v>
      </c>
      <c r="G39" s="18">
        <v>0</v>
      </c>
      <c r="H39" s="19">
        <v>55.831723656793685</v>
      </c>
      <c r="I39" s="12">
        <v>0</v>
      </c>
      <c r="J39" s="9">
        <v>2.2691176000000004</v>
      </c>
      <c r="K39" s="9">
        <v>8.4445339900000018</v>
      </c>
      <c r="L39" s="9">
        <v>0</v>
      </c>
      <c r="M39" s="9">
        <v>29.663447379999994</v>
      </c>
      <c r="N39" s="9">
        <v>10.763104959999993</v>
      </c>
      <c r="O39" s="9">
        <v>1.6395000000298023E-4</v>
      </c>
      <c r="P39" s="19">
        <v>51.140367879999992</v>
      </c>
    </row>
    <row r="40" spans="1:16" s="12" customFormat="1" x14ac:dyDescent="0.25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5">
      <c r="A41" s="8" t="s">
        <v>30</v>
      </c>
      <c r="B41" s="18">
        <v>0.42398004</v>
      </c>
      <c r="C41" s="18">
        <v>4.3798358899999998</v>
      </c>
      <c r="D41" s="18">
        <v>18.691388969999998</v>
      </c>
      <c r="E41" s="18">
        <v>3.2687101800000002</v>
      </c>
      <c r="F41" s="18">
        <v>1.0766927099999999</v>
      </c>
      <c r="G41" s="18">
        <v>0</v>
      </c>
      <c r="H41" s="19">
        <v>27.84060779</v>
      </c>
      <c r="I41" s="2">
        <v>0</v>
      </c>
      <c r="J41" s="9">
        <v>0.36654091</v>
      </c>
      <c r="K41" s="9">
        <v>4.4970245899999997</v>
      </c>
      <c r="L41" s="9">
        <v>50.035373130000004</v>
      </c>
      <c r="M41" s="9">
        <v>3.9662959900000003</v>
      </c>
      <c r="N41" s="9">
        <v>0.73674132999999997</v>
      </c>
      <c r="O41" s="9">
        <v>4.2049999997019771E-5</v>
      </c>
      <c r="P41" s="19">
        <v>59.602018000000001</v>
      </c>
    </row>
    <row r="42" spans="1:16" x14ac:dyDescent="0.25">
      <c r="A42" s="8" t="s">
        <v>31</v>
      </c>
      <c r="B42" s="18">
        <v>0.71657817000000001</v>
      </c>
      <c r="C42" s="18">
        <v>17.170530489999997</v>
      </c>
      <c r="D42" s="18">
        <v>11.82719165</v>
      </c>
      <c r="E42" s="18">
        <v>3.2309816900000001</v>
      </c>
      <c r="F42" s="18">
        <v>0.90149888</v>
      </c>
      <c r="G42" s="18">
        <v>0</v>
      </c>
      <c r="H42" s="19">
        <v>33.846780880000004</v>
      </c>
      <c r="I42" s="2">
        <v>0</v>
      </c>
      <c r="J42" s="9">
        <v>2.3968176699999999</v>
      </c>
      <c r="K42" s="9">
        <v>18.39041916</v>
      </c>
      <c r="L42" s="9">
        <v>7.5741653600000003</v>
      </c>
      <c r="M42" s="9">
        <v>4.1448433099999997</v>
      </c>
      <c r="N42" s="9">
        <v>0.25615602999999998</v>
      </c>
      <c r="O42" s="9">
        <v>3.7470000002533196E-5</v>
      </c>
      <c r="P42" s="19">
        <v>32.762439000000001</v>
      </c>
    </row>
    <row r="43" spans="1:16" x14ac:dyDescent="0.25">
      <c r="A43" s="8" t="s">
        <v>33</v>
      </c>
      <c r="B43" s="18">
        <v>0.26377078999999998</v>
      </c>
      <c r="C43" s="18">
        <v>3.7356975299999999</v>
      </c>
      <c r="D43" s="18">
        <v>0.18941845999999998</v>
      </c>
      <c r="E43" s="18">
        <v>12.125560119999999</v>
      </c>
      <c r="F43" s="18">
        <v>1.19663907</v>
      </c>
      <c r="G43" s="18">
        <v>0</v>
      </c>
      <c r="H43" s="19">
        <v>17.51108597</v>
      </c>
      <c r="I43" s="2">
        <v>0</v>
      </c>
      <c r="J43" s="9">
        <v>-0.18133526</v>
      </c>
      <c r="K43" s="9">
        <v>3.2452114999999999</v>
      </c>
      <c r="L43" s="9">
        <v>0.98725109999999994</v>
      </c>
      <c r="M43" s="9">
        <v>13.711115550000001</v>
      </c>
      <c r="N43" s="9">
        <v>0.36843452000000004</v>
      </c>
      <c r="O43" s="9">
        <v>3.4589999999850989E-5</v>
      </c>
      <c r="P43" s="19">
        <v>18.130711999999999</v>
      </c>
    </row>
    <row r="44" spans="1:16" x14ac:dyDescent="0.25">
      <c r="A44" s="8" t="s">
        <v>32</v>
      </c>
      <c r="B44" s="18">
        <v>1.4448248700000001</v>
      </c>
      <c r="C44" s="18">
        <v>3.8649057200000003</v>
      </c>
      <c r="D44" s="18">
        <v>5.2333781799999999</v>
      </c>
      <c r="E44" s="18">
        <v>5.3790404599999997</v>
      </c>
      <c r="F44" s="18">
        <v>2.6366485200000001</v>
      </c>
      <c r="G44" s="18">
        <v>0</v>
      </c>
      <c r="H44" s="19">
        <v>18.55879775</v>
      </c>
      <c r="I44" s="2">
        <v>0</v>
      </c>
      <c r="J44" s="9">
        <v>0.50334652000000002</v>
      </c>
      <c r="K44" s="9">
        <v>4.5093471699999998</v>
      </c>
      <c r="L44" s="9">
        <v>4.0529860400000004</v>
      </c>
      <c r="M44" s="9">
        <v>5.3456761500000001</v>
      </c>
      <c r="N44" s="9">
        <v>2.0712152000000001</v>
      </c>
      <c r="O44" s="9">
        <v>4.7919999999925497E-5</v>
      </c>
      <c r="P44" s="19">
        <v>16.482619</v>
      </c>
    </row>
    <row r="45" spans="1:16" s="12" customFormat="1" ht="14" x14ac:dyDescent="0.25">
      <c r="A45" s="11" t="s">
        <v>44</v>
      </c>
      <c r="B45" s="18">
        <v>7.8147142000000001</v>
      </c>
      <c r="C45" s="18">
        <v>7.0456152830289041</v>
      </c>
      <c r="D45" s="18">
        <v>2.101777980000004</v>
      </c>
      <c r="E45" s="18">
        <v>34.957882209999994</v>
      </c>
      <c r="F45" s="18">
        <v>4.6519754999999998</v>
      </c>
      <c r="G45" s="18">
        <v>0.43664284999999403</v>
      </c>
      <c r="H45" s="19">
        <v>57.008608023028899</v>
      </c>
      <c r="I45" s="12">
        <v>0</v>
      </c>
      <c r="J45" s="9">
        <v>14.722680030000001</v>
      </c>
      <c r="K45" s="9">
        <v>15.277565009999998</v>
      </c>
      <c r="L45" s="9">
        <v>1.6452881499999985</v>
      </c>
      <c r="M45" s="9">
        <v>25.87518949</v>
      </c>
      <c r="N45" s="9">
        <v>4.5274202699999995</v>
      </c>
      <c r="O45" s="9">
        <v>9.501933999998867E-2</v>
      </c>
      <c r="P45" s="19">
        <v>62.143162289999992</v>
      </c>
    </row>
    <row r="46" spans="1:16" s="12" customFormat="1" ht="14" x14ac:dyDescent="0.25">
      <c r="A46" s="16" t="s">
        <v>45</v>
      </c>
      <c r="B46" s="18">
        <v>-4.3000000000000001E-7</v>
      </c>
      <c r="C46" s="18">
        <v>-2.1477030822681002</v>
      </c>
      <c r="D46" s="9">
        <v>0</v>
      </c>
      <c r="E46" s="18">
        <v>-13.144370500000001</v>
      </c>
      <c r="F46" s="18">
        <v>-0.19770754999999998</v>
      </c>
      <c r="G46" s="18">
        <v>66.874491540094397</v>
      </c>
      <c r="H46" s="19">
        <v>51.384709977826297</v>
      </c>
      <c r="I46" s="12">
        <v>0</v>
      </c>
      <c r="J46" s="9">
        <v>-1.06836299</v>
      </c>
      <c r="K46" s="9">
        <v>0.52188831000000002</v>
      </c>
      <c r="L46" s="9">
        <v>0</v>
      </c>
      <c r="M46" s="9">
        <v>-6.2955062000000002</v>
      </c>
      <c r="N46" s="9">
        <v>-6.5692399999999996E-3</v>
      </c>
      <c r="O46" s="9">
        <v>8.9483301799999992</v>
      </c>
      <c r="P46" s="19">
        <v>2.0997800600000001</v>
      </c>
    </row>
    <row r="47" spans="1:16" ht="12" thickBot="1" x14ac:dyDescent="0.3">
      <c r="A47" s="1" t="s">
        <v>40</v>
      </c>
      <c r="B47" s="28">
        <v>345.52782264000001</v>
      </c>
      <c r="C47" s="28">
        <v>286.92780310904254</v>
      </c>
      <c r="D47" s="28">
        <v>251.61389745</v>
      </c>
      <c r="E47" s="28">
        <v>410.19931873000002</v>
      </c>
      <c r="F47" s="28">
        <v>238.18306577000001</v>
      </c>
      <c r="G47" s="28">
        <v>67.184861140094284</v>
      </c>
      <c r="H47" s="29">
        <v>1599.6367688391369</v>
      </c>
      <c r="I47" s="30">
        <v>0</v>
      </c>
      <c r="J47" s="28">
        <v>371.00704339999999</v>
      </c>
      <c r="K47" s="28">
        <v>353.62845406999998</v>
      </c>
      <c r="L47" s="28">
        <v>225.31961844999998</v>
      </c>
      <c r="M47" s="28">
        <v>426.41309961000002</v>
      </c>
      <c r="N47" s="28">
        <v>228.00926726</v>
      </c>
      <c r="O47" s="28">
        <v>9.04479646999979</v>
      </c>
      <c r="P47" s="29">
        <v>1613.4222792600001</v>
      </c>
    </row>
    <row r="48" spans="1:16" ht="12" thickTop="1" x14ac:dyDescent="0.25"/>
    <row r="49" spans="1:1" x14ac:dyDescent="0.25">
      <c r="A49" s="17" t="s">
        <v>41</v>
      </c>
    </row>
    <row r="50" spans="1:1" ht="14" x14ac:dyDescent="0.25">
      <c r="A50" s="17" t="s">
        <v>42</v>
      </c>
    </row>
    <row r="51" spans="1:1" ht="14" x14ac:dyDescent="0.25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D0158B5A5946AFB7BB14F5DE07D9" ma:contentTypeVersion="4" ma:contentTypeDescription="Create a new document." ma:contentTypeScope="" ma:versionID="f07f0d4028f5f3b81323c62baf7fcf5e">
  <xsd:schema xmlns:xsd="http://www.w3.org/2001/XMLSchema" xmlns:xs="http://www.w3.org/2001/XMLSchema" xmlns:p="http://schemas.microsoft.com/office/2006/metadata/properties" xmlns:ns2="29014317-fd50-4f15-908b-b15e8e01fc96" targetNamespace="http://schemas.microsoft.com/office/2006/metadata/properties" ma:root="true" ma:fieldsID="dd37cff04e78e3a9bfe9684f71d8d048" ns2:_="">
    <xsd:import namespace="29014317-fd50-4f15-908b-b15e8e01fc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14317-fd50-4f15-908b-b15e8e01f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F3DD4-24D5-4EB6-8A90-9376A667BD7F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29014317-fd50-4f15-908b-b15e8e01fc9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3886A3-7B01-4AA5-8E86-217738B1E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14317-fd50-4f15-908b-b15e8e01f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04544-8F07-42CB-8E02-D88D196577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4Q22 Prod Sales by Region</vt:lpstr>
      <vt:lpstr>4Q22 YTD Prod Sales by Region</vt:lpstr>
      <vt:lpstr>1Q 2022 Sales by Region Report</vt:lpstr>
      <vt:lpstr>1Q '22 product Sales by region</vt:lpstr>
      <vt:lpstr>FY 2021 Sales by Region Report</vt:lpstr>
      <vt:lpstr>4Q 2021 Sales by Region Report</vt:lpstr>
      <vt:lpstr>FY product Sales by region</vt:lpstr>
      <vt:lpstr>4Q product Sales by region</vt:lpstr>
      <vt:lpstr>3Q product Sales by region</vt:lpstr>
      <vt:lpstr>2Q product Sales by region</vt:lpstr>
      <vt:lpstr>1Q product sales by region </vt:lpstr>
      <vt:lpstr>OCO Ops Global Adj</vt:lpstr>
      <vt:lpstr>'1Q ''22 product Sales by region'!Print_Area</vt:lpstr>
      <vt:lpstr>'1Q product sales by region '!Print_Area</vt:lpstr>
      <vt:lpstr>'2Q product Sales by region'!Print_Area</vt:lpstr>
      <vt:lpstr>'3Q product Sales by region'!Print_Area</vt:lpstr>
      <vt:lpstr>'4Q product Sales by region'!Print_Area</vt:lpstr>
      <vt:lpstr>'4Q22 Prod Sales by Region'!Print_Area</vt:lpstr>
      <vt:lpstr>'4Q22 YTD Prod Sales by Region'!Print_Area</vt:lpstr>
      <vt:lpstr>'FY product Sales by region'!Print_Area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Arzeno, Alex</dc:creator>
  <cp:lastModifiedBy>Halchak, Jennifer</cp:lastModifiedBy>
  <dcterms:created xsi:type="dcterms:W3CDTF">2022-08-31T19:11:23Z</dcterms:created>
  <dcterms:modified xsi:type="dcterms:W3CDTF">2023-03-03T21:49:41Z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1811324676</vt:i4>
  </property>
  <property fmtid="{D5CDD505-2E9C-101B-9397-08002B2CF9AE}" pid="3" name="_NewReviewCycle">
    <vt:lpwstr/>
  </property>
  <property fmtid="{D5CDD505-2E9C-101B-9397-08002B2CF9AE}" pid="4" name="_EmailSubject">
    <vt:lpwstr>Q42022 Regional Product Revenues Excel File Needed</vt:lpwstr>
  </property>
  <property fmtid="{D5CDD505-2E9C-101B-9397-08002B2CF9AE}" pid="5" name="_AuthorEmail">
    <vt:lpwstr>alexander.arzeno@organon.com</vt:lpwstr>
  </property>
  <property fmtid="{D5CDD505-2E9C-101B-9397-08002B2CF9AE}" pid="6" name="_AuthorEmailDisplayName">
    <vt:lpwstr>Arzeno, Alex</vt:lpwstr>
  </property>
  <property fmtid="{D5CDD505-2E9C-101B-9397-08002B2CF9AE}" pid="7" name="_PreviousAdHocReviewCycleID">
    <vt:i4>1811324676</vt:i4>
  </property>
  <property fmtid="{D5CDD505-2E9C-101B-9397-08002B2CF9AE}" pid="8" name="_ReviewingToolsShownOnce">
    <vt:lpwstr/>
  </property>
  <property fmtid="{D5CDD505-2E9C-101B-9397-08002B2CF9AE}" pid="9" name="MSIP_Label_9e5572be-d5bb-4f9b-88a4-df12000c467e_Enabled">
    <vt:lpwstr>true</vt:lpwstr>
  </property>
  <property fmtid="{D5CDD505-2E9C-101B-9397-08002B2CF9AE}" pid="10" name="MSIP_Label_9e5572be-d5bb-4f9b-88a4-df12000c467e_SetDate">
    <vt:lpwstr>2023-03-03T21:49:36Z</vt:lpwstr>
  </property>
  <property fmtid="{D5CDD505-2E9C-101B-9397-08002B2CF9AE}" pid="11" name="MSIP_Label_9e5572be-d5bb-4f9b-88a4-df12000c467e_Method">
    <vt:lpwstr>Privileged</vt:lpwstr>
  </property>
  <property fmtid="{D5CDD505-2E9C-101B-9397-08002B2CF9AE}" pid="12" name="MSIP_Label_9e5572be-d5bb-4f9b-88a4-df12000c467e_Name">
    <vt:lpwstr>English - Proprietary</vt:lpwstr>
  </property>
  <property fmtid="{D5CDD505-2E9C-101B-9397-08002B2CF9AE}" pid="13" name="MSIP_Label_9e5572be-d5bb-4f9b-88a4-df12000c467e_SiteId">
    <vt:lpwstr>484a70d1-caaf-4a03-a477-1cbe688304af</vt:lpwstr>
  </property>
  <property fmtid="{D5CDD505-2E9C-101B-9397-08002B2CF9AE}" pid="14" name="MSIP_Label_9e5572be-d5bb-4f9b-88a4-df12000c467e_ActionId">
    <vt:lpwstr>a1efe984-9a09-4e5a-9de9-48cecb159d5a</vt:lpwstr>
  </property>
  <property fmtid="{D5CDD505-2E9C-101B-9397-08002B2CF9AE}" pid="15" name="MSIP_Label_9e5572be-d5bb-4f9b-88a4-df12000c467e_ContentBits">
    <vt:lpwstr>1</vt:lpwstr>
  </property>
</Properties>
</file>